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ibajan\Desktop\"/>
    </mc:Choice>
  </mc:AlternateContent>
  <workbookProtection workbookAlgorithmName="SHA-512" workbookHashValue="OsyWL1ACbCdnjfcjPPeieDv4DAlJXJLw8wxeBzYTv0DTJ24rp5UIVQrmTRnKP7VKx6BukKhzRS3C0+kbL/rG6w==" workbookSaltValue="LwNtBlzb2n1GZ2H2ke8j2w==" workbookSpinCount="100000" lockStructure="1"/>
  <bookViews>
    <workbookView xWindow="0" yWindow="0" windowWidth="10875" windowHeight="9090" tabRatio="786"/>
  </bookViews>
  <sheets>
    <sheet name="Figyelmeztetés!" sheetId="23" r:id="rId1"/>
    <sheet name="Kitöltési útmutató" sheetId="17" r:id="rId2"/>
    <sheet name="Overview" sheetId="14" r:id="rId3"/>
    <sheet name="KA2_SP_TIMELINE_TEMPLATE" sheetId="18" r:id="rId4"/>
    <sheet name="Management" sheetId="15" r:id="rId5"/>
    <sheet name="Partner meetings" sheetId="16" r:id="rId6"/>
    <sheet name="Intellectual outputs" sheetId="1" r:id="rId7"/>
    <sheet name="Multiplier events" sheetId="5" r:id="rId8"/>
    <sheet name="VET Transnat. training-teaching" sheetId="4" r:id="rId9"/>
    <sheet name="HE Transnat. training-teaching" sheetId="22" r:id="rId10"/>
    <sheet name="AE Transnat. training-teaching" sheetId="21" r:id="rId11"/>
    <sheet name="SE Transnat. training-teaching" sheetId="19" r:id="rId12"/>
    <sheet name="Youth Transnat. training-teach" sheetId="20" r:id="rId13"/>
    <sheet name="Exceptional costs" sheetId="6" r:id="rId14"/>
    <sheet name="Special needs" sheetId="8" r:id="rId15"/>
    <sheet name="Total grant requested" sheetId="2" r:id="rId16"/>
    <sheet name="Ceilings" sheetId="12" state="hidden" r:id="rId17"/>
  </sheets>
  <definedNames>
    <definedName name="_xlnm._FilterDatabase" localSheetId="16" hidden="1">Ceilings!$A$3:$Q$66</definedName>
    <definedName name="_xlnm._FilterDatabase" localSheetId="2" hidden="1">Overview!#REF!</definedName>
    <definedName name="A_Activity_t">Ceilings!$J$51:$J$53</definedName>
    <definedName name="Activity_t">Ceilings!$J$39</definedName>
    <definedName name="Ceilings">Ceilings!$B$5:$G$63</definedName>
    <definedName name="Countries">Ceilings!$A$4:$A$203</definedName>
    <definedName name="CountriesofPs">Management!$B$6:$B$25</definedName>
    <definedName name="dCountries">Ceilings!$M$4:$M$36</definedName>
    <definedName name="Distances">Ceilings!$X$4:$X$10</definedName>
    <definedName name="Duration">Ceilings!$J$9:$J$33</definedName>
    <definedName name="End">Overview!$C$11</definedName>
    <definedName name="EUint">Ceilings!$M$63:$M$66</definedName>
    <definedName name="H_Activity_t">Ceilings!$J$54:$J$59</definedName>
    <definedName name="Limit">Ceilings!$J$9:$K$33</definedName>
    <definedName name="_xlnm.Print_Titles" localSheetId="10">'AE Transnat. training-teaching'!$4:$4</definedName>
    <definedName name="_xlnm.Print_Titles" localSheetId="13">'Exceptional costs'!$4:$4</definedName>
    <definedName name="_xlnm.Print_Titles" localSheetId="9">'HE Transnat. training-teaching'!$4:$4</definedName>
    <definedName name="_xlnm.Print_Titles" localSheetId="6">'Intellectual outputs'!$3:$5</definedName>
    <definedName name="_xlnm.Print_Titles" localSheetId="7">'Multiplier events'!$4:$4</definedName>
    <definedName name="_xlnm.Print_Titles" localSheetId="5">'Partner meetings'!$4:$5</definedName>
    <definedName name="_xlnm.Print_Titles" localSheetId="11">'SE Transnat. training-teaching'!$4:$4</definedName>
    <definedName name="_xlnm.Print_Titles" localSheetId="14">'Special needs'!$4:$4</definedName>
    <definedName name="_xlnm.Print_Titles" localSheetId="8">'VET Transnat. training-teaching'!$4:$4</definedName>
    <definedName name="_xlnm.Print_Titles" localSheetId="12">'Youth Transnat. training-teach'!$4:$4</definedName>
    <definedName name="_xlnm.Print_Area" localSheetId="16">Ceilings!$A$1:$I$65</definedName>
    <definedName name="_xlnm.Print_Area" localSheetId="13">'Exceptional costs'!$A$1:$F$36</definedName>
    <definedName name="_xlnm.Print_Area" localSheetId="0">'Figyelmeztetés!'!$A$1:$M$5</definedName>
    <definedName name="_xlnm.Print_Area" localSheetId="1">'Kitöltési útmutató'!$A$1:$M$50</definedName>
    <definedName name="_xlnm.Print_Area" localSheetId="4">Management!$A$1:$F$25</definedName>
    <definedName name="_xlnm.Print_Area" localSheetId="7">'Multiplier events'!$A$3:$H$36</definedName>
    <definedName name="_xlnm.Print_Area" localSheetId="5">'Partner meetings'!$A$1:$J$108</definedName>
    <definedName name="_xlnm.Print_Area" localSheetId="15">'Total grant requested'!$A$1:$I$21</definedName>
    <definedName name="Partners">Management!$A$10:$A$25</definedName>
    <definedName name="Partners1">Management!$A$8:$A$25</definedName>
    <definedName name="PCountries">Ceilings!$A$4:$A$38</definedName>
    <definedName name="Rates">Ceilings!$A$5:$G$63</definedName>
    <definedName name="S_Activity_t">Ceilings!$J$43:$J$47</definedName>
    <definedName name="Semmi">Ceilings!$M$68</definedName>
    <definedName name="Start">Overview!$C$9</definedName>
    <definedName name="Subsistence">Ceilings!$M$4:$Q$36</definedName>
    <definedName name="Topup">Ceilings!$Y$11</definedName>
    <definedName name="TravelGrant">Ceilings!$X$4:$Y$10</definedName>
    <definedName name="V_Activity_t">Ceilings!$J$40:$J$42</definedName>
    <definedName name="Y_Activity_t">Ceilings!$J$48:$J$50</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H7" i="5" l="1"/>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E38" i="4"/>
  <c r="E38" i="22"/>
  <c r="E38" i="21"/>
  <c r="E38" i="19"/>
  <c r="E38" i="20"/>
  <c r="H38" i="4"/>
  <c r="H38" i="22"/>
  <c r="H38" i="21"/>
  <c r="H38" i="19"/>
  <c r="H38" i="20"/>
  <c r="F22" i="2"/>
  <c r="H6" i="5"/>
  <c r="N37" i="4"/>
  <c r="N36" i="4"/>
  <c r="N35" i="4"/>
  <c r="N34" i="4"/>
  <c r="N33" i="4"/>
  <c r="N32" i="4"/>
  <c r="N31" i="4"/>
  <c r="N30" i="4"/>
  <c r="N29" i="4"/>
  <c r="N28" i="4"/>
  <c r="N27" i="4"/>
  <c r="N26" i="4"/>
  <c r="N25" i="4"/>
  <c r="N24" i="4"/>
  <c r="N23" i="4"/>
  <c r="N22" i="4"/>
  <c r="N21" i="4"/>
  <c r="N20" i="4"/>
  <c r="N19" i="4"/>
  <c r="N18" i="4"/>
  <c r="N17" i="4"/>
  <c r="N16" i="4"/>
  <c r="N15" i="4"/>
  <c r="N14" i="4"/>
  <c r="N13" i="4"/>
  <c r="N12" i="4"/>
  <c r="N11" i="4"/>
  <c r="N10" i="4"/>
  <c r="N9" i="4"/>
  <c r="N8" i="4"/>
  <c r="N7" i="4"/>
  <c r="N6" i="4"/>
  <c r="N37" i="22"/>
  <c r="N36" i="22"/>
  <c r="N35" i="22"/>
  <c r="N34" i="22"/>
  <c r="N33" i="22"/>
  <c r="N32" i="22"/>
  <c r="N31" i="22"/>
  <c r="N30" i="22"/>
  <c r="N29" i="22"/>
  <c r="N28" i="22"/>
  <c r="N27" i="22"/>
  <c r="N26" i="22"/>
  <c r="N25" i="22"/>
  <c r="N24" i="22"/>
  <c r="N23" i="22"/>
  <c r="N22" i="22"/>
  <c r="N21" i="22"/>
  <c r="N20" i="22"/>
  <c r="N19" i="22"/>
  <c r="N18" i="22"/>
  <c r="N17" i="22"/>
  <c r="N16" i="22"/>
  <c r="N15" i="22"/>
  <c r="N14" i="22"/>
  <c r="N13" i="22"/>
  <c r="N12" i="22"/>
  <c r="N11" i="22"/>
  <c r="N10" i="22"/>
  <c r="N9" i="22"/>
  <c r="N8" i="22"/>
  <c r="N7" i="22"/>
  <c r="N6" i="22"/>
  <c r="N37" i="21"/>
  <c r="N36" i="21"/>
  <c r="N35" i="21"/>
  <c r="N34" i="21"/>
  <c r="N33" i="21"/>
  <c r="N32" i="21"/>
  <c r="N31" i="21"/>
  <c r="N30" i="21"/>
  <c r="N29" i="21"/>
  <c r="N28" i="21"/>
  <c r="N27" i="21"/>
  <c r="N26" i="21"/>
  <c r="N25" i="21"/>
  <c r="N24" i="21"/>
  <c r="N23" i="21"/>
  <c r="N22" i="21"/>
  <c r="N21" i="21"/>
  <c r="N20" i="21"/>
  <c r="N19" i="21"/>
  <c r="N18" i="21"/>
  <c r="N17" i="21"/>
  <c r="N16" i="21"/>
  <c r="N15" i="21"/>
  <c r="N14" i="21"/>
  <c r="N13" i="21"/>
  <c r="N12" i="21"/>
  <c r="N11" i="21"/>
  <c r="N10" i="21"/>
  <c r="N9" i="21"/>
  <c r="N8" i="21"/>
  <c r="N7" i="21"/>
  <c r="N6" i="21"/>
  <c r="N37" i="19"/>
  <c r="N36" i="19"/>
  <c r="N35" i="19"/>
  <c r="N34" i="19"/>
  <c r="N33" i="19"/>
  <c r="N32" i="19"/>
  <c r="N31" i="19"/>
  <c r="N30" i="19"/>
  <c r="N29" i="19"/>
  <c r="N28" i="19"/>
  <c r="N27" i="19"/>
  <c r="N26" i="19"/>
  <c r="N25" i="19"/>
  <c r="N24" i="19"/>
  <c r="N23" i="19"/>
  <c r="N22" i="19"/>
  <c r="N21" i="19"/>
  <c r="N20" i="19"/>
  <c r="N19" i="19"/>
  <c r="N18" i="19"/>
  <c r="N17" i="19"/>
  <c r="N16" i="19"/>
  <c r="N15" i="19"/>
  <c r="N14" i="19"/>
  <c r="N13" i="19"/>
  <c r="N12" i="19"/>
  <c r="N11" i="19"/>
  <c r="N10" i="19"/>
  <c r="N9" i="19"/>
  <c r="N8" i="19"/>
  <c r="N7" i="19"/>
  <c r="N6" i="19"/>
  <c r="N7" i="20"/>
  <c r="F7" i="16"/>
  <c r="B7" i="15" a="1"/>
  <c r="B9" i="15"/>
  <c r="B6" i="5"/>
  <c r="A7" i="2"/>
  <c r="J7" i="16"/>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C7" i="2"/>
  <c r="J6" i="16"/>
  <c r="C6" i="2"/>
  <c r="E9" i="1"/>
  <c r="E10" i="1"/>
  <c r="E11" i="1"/>
  <c r="E12" i="1"/>
  <c r="E8"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T7" i="4"/>
  <c r="T8" i="4"/>
  <c r="T7" i="22"/>
  <c r="T8" i="22"/>
  <c r="T9" i="22"/>
  <c r="T10" i="22"/>
  <c r="T11" i="22"/>
  <c r="T12" i="22"/>
  <c r="T13" i="22"/>
  <c r="T14" i="22"/>
  <c r="T15" i="22"/>
  <c r="T16" i="22"/>
  <c r="T17" i="22"/>
  <c r="T18" i="22"/>
  <c r="T19" i="22"/>
  <c r="T20" i="22"/>
  <c r="T21" i="22"/>
  <c r="T22" i="22"/>
  <c r="T23" i="22"/>
  <c r="T24" i="22"/>
  <c r="T25" i="22"/>
  <c r="T26" i="22"/>
  <c r="T27" i="22"/>
  <c r="T28" i="22"/>
  <c r="T29" i="22"/>
  <c r="T30" i="22"/>
  <c r="T31" i="22"/>
  <c r="T32" i="22"/>
  <c r="T33" i="22"/>
  <c r="T34" i="22"/>
  <c r="T35" i="22"/>
  <c r="T36" i="22"/>
  <c r="T37" i="22"/>
  <c r="T6" i="22"/>
  <c r="T7" i="21"/>
  <c r="T7" i="19"/>
  <c r="T7" i="20"/>
  <c r="T8" i="20"/>
  <c r="T9" i="20"/>
  <c r="T10" i="20"/>
  <c r="T11" i="20"/>
  <c r="T12" i="20"/>
  <c r="T13" i="20"/>
  <c r="T14" i="20"/>
  <c r="T15" i="20"/>
  <c r="T16" i="20"/>
  <c r="T17" i="20"/>
  <c r="T18" i="20"/>
  <c r="T19" i="20"/>
  <c r="T20" i="20"/>
  <c r="T21" i="20"/>
  <c r="T22" i="20"/>
  <c r="T23" i="20"/>
  <c r="T24" i="20"/>
  <c r="T25" i="20"/>
  <c r="T26" i="20"/>
  <c r="T27" i="20"/>
  <c r="T28" i="20"/>
  <c r="T29" i="20"/>
  <c r="T30" i="20"/>
  <c r="T31" i="20"/>
  <c r="T32" i="20"/>
  <c r="T33" i="20"/>
  <c r="T34" i="20"/>
  <c r="T35" i="20"/>
  <c r="T36" i="20"/>
  <c r="T37" i="20"/>
  <c r="T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34" i="19"/>
  <c r="T35" i="19"/>
  <c r="T36" i="19"/>
  <c r="T37" i="19"/>
  <c r="T6" i="19"/>
  <c r="T8" i="21"/>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6" i="2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A8" i="2"/>
  <c r="E8" i="2"/>
  <c r="A9" i="2"/>
  <c r="A10" i="2"/>
  <c r="E10" i="2"/>
  <c r="E14" i="15"/>
  <c r="B10" i="2"/>
  <c r="A11" i="2"/>
  <c r="E15" i="15"/>
  <c r="B11" i="2"/>
  <c r="A12" i="2"/>
  <c r="E12" i="2"/>
  <c r="F12" i="2"/>
  <c r="E16" i="15"/>
  <c r="B12" i="2"/>
  <c r="A13" i="2"/>
  <c r="E17" i="15"/>
  <c r="B13" i="2"/>
  <c r="A14" i="2"/>
  <c r="E14" i="2"/>
  <c r="E18" i="15"/>
  <c r="B14" i="2"/>
  <c r="A15" i="2"/>
  <c r="E19" i="15"/>
  <c r="B15" i="2"/>
  <c r="A16" i="2"/>
  <c r="E16" i="2"/>
  <c r="F16" i="2"/>
  <c r="E20" i="15"/>
  <c r="B16" i="2"/>
  <c r="A17" i="2"/>
  <c r="E21" i="15"/>
  <c r="B17" i="2"/>
  <c r="A18" i="2"/>
  <c r="E18" i="2"/>
  <c r="F18" i="2"/>
  <c r="E22" i="15"/>
  <c r="B18" i="2"/>
  <c r="A19" i="2"/>
  <c r="E23" i="15"/>
  <c r="B19" i="2"/>
  <c r="A20" i="2"/>
  <c r="E20" i="2"/>
  <c r="F20" i="2"/>
  <c r="E24" i="15"/>
  <c r="B20" i="2"/>
  <c r="A21" i="2"/>
  <c r="E25" i="15"/>
  <c r="B21" i="2"/>
  <c r="C13" i="14"/>
  <c r="J5" i="2"/>
  <c r="D4" i="14"/>
  <c r="C11" i="14"/>
  <c r="D11" i="14"/>
  <c r="D9" i="14"/>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6" i="20"/>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O7" i="4"/>
  <c r="Q7" i="4"/>
  <c r="P7" i="4"/>
  <c r="S7" i="4"/>
  <c r="T6" i="4"/>
  <c r="T6" i="20"/>
  <c r="F6" i="2"/>
  <c r="B7" i="4"/>
  <c r="B8" i="4"/>
  <c r="O8" i="4"/>
  <c r="Q8" i="4"/>
  <c r="P8" i="4"/>
  <c r="S8" i="4"/>
  <c r="B9" i="4"/>
  <c r="O9" i="4"/>
  <c r="Q9" i="4"/>
  <c r="P9"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6" i="4"/>
  <c r="B10" i="4"/>
  <c r="O10" i="4"/>
  <c r="Q10" i="4"/>
  <c r="P10" i="4"/>
  <c r="B7" i="21"/>
  <c r="O7" i="21"/>
  <c r="Q7" i="21"/>
  <c r="P7" i="21"/>
  <c r="S7" i="21"/>
  <c r="B8" i="21"/>
  <c r="O8" i="21"/>
  <c r="Q8" i="21"/>
  <c r="P8" i="21"/>
  <c r="S8" i="21"/>
  <c r="S9" i="21"/>
  <c r="S10" i="21"/>
  <c r="S11" i="21"/>
  <c r="S12"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6" i="21"/>
  <c r="B9" i="21"/>
  <c r="O9" i="21"/>
  <c r="Q9" i="21"/>
  <c r="P9" i="21"/>
  <c r="B10" i="21"/>
  <c r="O10" i="21"/>
  <c r="P10" i="21"/>
  <c r="Q10" i="2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H7" i="2"/>
  <c r="H12" i="2"/>
  <c r="P10" i="20"/>
  <c r="O8" i="22"/>
  <c r="Q8" i="22"/>
  <c r="O9" i="22"/>
  <c r="Q9" i="22"/>
  <c r="O10" i="22"/>
  <c r="Q10" i="22"/>
  <c r="O11" i="22"/>
  <c r="O12" i="22"/>
  <c r="Q12" i="22"/>
  <c r="O13" i="22"/>
  <c r="Q13" i="22"/>
  <c r="O14" i="22"/>
  <c r="O15" i="22"/>
  <c r="O16" i="22"/>
  <c r="Q16" i="22"/>
  <c r="O17" i="22"/>
  <c r="O18" i="22"/>
  <c r="O19" i="22"/>
  <c r="O20" i="22"/>
  <c r="Q20" i="22"/>
  <c r="O21" i="22"/>
  <c r="O22" i="22"/>
  <c r="O23" i="22"/>
  <c r="O24" i="22"/>
  <c r="Q24" i="22"/>
  <c r="O25" i="22"/>
  <c r="O26" i="22"/>
  <c r="Q26" i="22"/>
  <c r="O27" i="22"/>
  <c r="O28" i="22"/>
  <c r="Q28" i="22"/>
  <c r="O29" i="22"/>
  <c r="O30" i="22"/>
  <c r="Q30" i="22"/>
  <c r="O31" i="22"/>
  <c r="O32" i="22"/>
  <c r="Q32" i="22"/>
  <c r="O33" i="22"/>
  <c r="O34" i="22"/>
  <c r="Q34" i="22"/>
  <c r="O35" i="22"/>
  <c r="O36" i="22"/>
  <c r="Q36" i="22"/>
  <c r="O37" i="22"/>
  <c r="O7" i="22"/>
  <c r="Q7" i="22"/>
  <c r="S37" i="22"/>
  <c r="Q37" i="22"/>
  <c r="P37" i="22"/>
  <c r="J37" i="22"/>
  <c r="G37" i="22"/>
  <c r="B37" i="22"/>
  <c r="S36" i="22"/>
  <c r="P36" i="22"/>
  <c r="J36" i="22"/>
  <c r="G36" i="22"/>
  <c r="B36" i="22"/>
  <c r="S35" i="22"/>
  <c r="Q35" i="22"/>
  <c r="P35" i="22"/>
  <c r="J35" i="22"/>
  <c r="G35" i="22"/>
  <c r="B35" i="22"/>
  <c r="S34" i="22"/>
  <c r="P34" i="22"/>
  <c r="J34" i="22"/>
  <c r="G34" i="22"/>
  <c r="B34" i="22"/>
  <c r="S33" i="22"/>
  <c r="Q33" i="22"/>
  <c r="P33" i="22"/>
  <c r="J33" i="22"/>
  <c r="G33" i="22"/>
  <c r="B33" i="22"/>
  <c r="S32" i="22"/>
  <c r="P32" i="22"/>
  <c r="J32" i="22"/>
  <c r="G32" i="22"/>
  <c r="B32" i="22"/>
  <c r="S31" i="22"/>
  <c r="Q31" i="22"/>
  <c r="P31" i="22"/>
  <c r="J31" i="22"/>
  <c r="G31" i="22"/>
  <c r="B31" i="22"/>
  <c r="S30" i="22"/>
  <c r="P30" i="22"/>
  <c r="J30" i="22"/>
  <c r="G30" i="22"/>
  <c r="B30" i="22"/>
  <c r="S29" i="22"/>
  <c r="Q29" i="22"/>
  <c r="P29" i="22"/>
  <c r="J29" i="22"/>
  <c r="G29" i="22"/>
  <c r="B29" i="22"/>
  <c r="S28" i="22"/>
  <c r="P28" i="22"/>
  <c r="J28" i="22"/>
  <c r="G28" i="22"/>
  <c r="B28" i="22"/>
  <c r="S27" i="22"/>
  <c r="Q27" i="22"/>
  <c r="P27" i="22"/>
  <c r="J27" i="22"/>
  <c r="G27" i="22"/>
  <c r="B27" i="22"/>
  <c r="S26" i="22"/>
  <c r="P26" i="22"/>
  <c r="J26" i="22"/>
  <c r="G26" i="22"/>
  <c r="B26" i="22"/>
  <c r="S25" i="22"/>
  <c r="Q25" i="22"/>
  <c r="P25" i="22"/>
  <c r="J25" i="22"/>
  <c r="G25" i="22"/>
  <c r="B25" i="22"/>
  <c r="S24" i="22"/>
  <c r="P24" i="22"/>
  <c r="J24" i="22"/>
  <c r="G24" i="22"/>
  <c r="B24" i="22"/>
  <c r="S23" i="22"/>
  <c r="Q23" i="22"/>
  <c r="P23" i="22"/>
  <c r="J23" i="22"/>
  <c r="G23" i="22"/>
  <c r="B23" i="22"/>
  <c r="S22" i="22"/>
  <c r="Q22" i="22"/>
  <c r="P22" i="22"/>
  <c r="J22" i="22"/>
  <c r="G22" i="22"/>
  <c r="B22" i="22"/>
  <c r="S21" i="22"/>
  <c r="Q21" i="22"/>
  <c r="P21" i="22"/>
  <c r="J21" i="22"/>
  <c r="G21" i="22"/>
  <c r="B21" i="22"/>
  <c r="S20" i="22"/>
  <c r="P20" i="22"/>
  <c r="J20" i="22"/>
  <c r="G20" i="22"/>
  <c r="B20" i="22"/>
  <c r="S19" i="22"/>
  <c r="Q19" i="22"/>
  <c r="P19" i="22"/>
  <c r="J19" i="22"/>
  <c r="G19" i="22"/>
  <c r="B19" i="22"/>
  <c r="S18" i="22"/>
  <c r="Q18" i="22"/>
  <c r="P18" i="22"/>
  <c r="J18" i="22"/>
  <c r="G18" i="22"/>
  <c r="B18" i="22"/>
  <c r="S17" i="22"/>
  <c r="Q17" i="22"/>
  <c r="P17" i="22"/>
  <c r="J17" i="22"/>
  <c r="G17" i="22"/>
  <c r="B17" i="22"/>
  <c r="S16" i="22"/>
  <c r="P16" i="22"/>
  <c r="J16" i="22"/>
  <c r="G16" i="22"/>
  <c r="B16" i="22"/>
  <c r="S15" i="22"/>
  <c r="Q15" i="22"/>
  <c r="P15" i="22"/>
  <c r="J15" i="22"/>
  <c r="G15" i="22"/>
  <c r="B15" i="22"/>
  <c r="S14" i="22"/>
  <c r="Q14" i="22"/>
  <c r="P14" i="22"/>
  <c r="J14" i="22"/>
  <c r="G14" i="22"/>
  <c r="B14" i="22"/>
  <c r="S13" i="22"/>
  <c r="P13" i="22"/>
  <c r="J13" i="22"/>
  <c r="G13" i="22"/>
  <c r="B13" i="22"/>
  <c r="S12" i="22"/>
  <c r="P12" i="22"/>
  <c r="J12" i="22"/>
  <c r="G12" i="22"/>
  <c r="B12" i="22"/>
  <c r="S11" i="22"/>
  <c r="P11" i="22"/>
  <c r="Q11" i="22"/>
  <c r="J11" i="22"/>
  <c r="G11" i="22"/>
  <c r="B11" i="22"/>
  <c r="B10" i="22"/>
  <c r="P10" i="22"/>
  <c r="S10" i="22"/>
  <c r="J10" i="22"/>
  <c r="G10" i="22"/>
  <c r="B9" i="22"/>
  <c r="P9" i="22"/>
  <c r="S9" i="22"/>
  <c r="J9" i="22"/>
  <c r="G9" i="22"/>
  <c r="B8" i="22"/>
  <c r="P8" i="22"/>
  <c r="S8" i="22"/>
  <c r="S7" i="22"/>
  <c r="S6" i="22"/>
  <c r="J8" i="22"/>
  <c r="G8" i="22"/>
  <c r="B7" i="22"/>
  <c r="P7" i="22"/>
  <c r="J7" i="22"/>
  <c r="G7" i="22"/>
  <c r="O37" i="21"/>
  <c r="Q37" i="21"/>
  <c r="P37" i="21"/>
  <c r="J37" i="21"/>
  <c r="G37" i="21"/>
  <c r="B37" i="21"/>
  <c r="O36" i="21"/>
  <c r="Q36" i="21"/>
  <c r="P36" i="21"/>
  <c r="J36" i="21"/>
  <c r="G36" i="21"/>
  <c r="B36" i="21"/>
  <c r="O35" i="21"/>
  <c r="Q35" i="21"/>
  <c r="P35" i="21"/>
  <c r="J35" i="21"/>
  <c r="G35" i="21"/>
  <c r="B35" i="21"/>
  <c r="O34" i="21"/>
  <c r="Q34" i="21"/>
  <c r="P34" i="21"/>
  <c r="J34" i="21"/>
  <c r="G34" i="21"/>
  <c r="B34" i="21"/>
  <c r="O33" i="21"/>
  <c r="Q33" i="21"/>
  <c r="P33" i="21"/>
  <c r="J33" i="21"/>
  <c r="G33" i="21"/>
  <c r="B33" i="21"/>
  <c r="O32" i="21"/>
  <c r="Q32" i="21"/>
  <c r="P32" i="21"/>
  <c r="J32" i="21"/>
  <c r="G32" i="21"/>
  <c r="B32" i="21"/>
  <c r="O31" i="21"/>
  <c r="Q31" i="21"/>
  <c r="P31" i="21"/>
  <c r="J31" i="21"/>
  <c r="G31" i="21"/>
  <c r="B31" i="21"/>
  <c r="O30" i="21"/>
  <c r="Q30" i="21"/>
  <c r="P30" i="21"/>
  <c r="J30" i="21"/>
  <c r="G30" i="21"/>
  <c r="B30" i="21"/>
  <c r="O29" i="21"/>
  <c r="Q29" i="21"/>
  <c r="P29" i="21"/>
  <c r="J29" i="21"/>
  <c r="G29" i="21"/>
  <c r="B29" i="21"/>
  <c r="O28" i="21"/>
  <c r="Q28" i="21"/>
  <c r="P28" i="21"/>
  <c r="J28" i="21"/>
  <c r="G28" i="21"/>
  <c r="B28" i="21"/>
  <c r="O27" i="21"/>
  <c r="Q27" i="21"/>
  <c r="P27" i="21"/>
  <c r="J27" i="21"/>
  <c r="G27" i="21"/>
  <c r="B27" i="21"/>
  <c r="O26" i="21"/>
  <c r="Q26" i="21"/>
  <c r="P26" i="21"/>
  <c r="J26" i="21"/>
  <c r="G26" i="21"/>
  <c r="B26" i="21"/>
  <c r="O25" i="21"/>
  <c r="Q25" i="21"/>
  <c r="P25" i="21"/>
  <c r="J25" i="21"/>
  <c r="G25" i="21"/>
  <c r="B25" i="21"/>
  <c r="O24" i="21"/>
  <c r="Q24" i="21"/>
  <c r="P24" i="21"/>
  <c r="J24" i="21"/>
  <c r="G24" i="21"/>
  <c r="B24" i="21"/>
  <c r="O23" i="21"/>
  <c r="Q23" i="21"/>
  <c r="P23" i="21"/>
  <c r="J23" i="21"/>
  <c r="G23" i="21"/>
  <c r="B23" i="21"/>
  <c r="O22" i="21"/>
  <c r="Q22" i="21"/>
  <c r="P22" i="21"/>
  <c r="J22" i="21"/>
  <c r="G22" i="21"/>
  <c r="B22" i="21"/>
  <c r="O21" i="21"/>
  <c r="Q21" i="21"/>
  <c r="P21" i="21"/>
  <c r="J21" i="21"/>
  <c r="G21" i="21"/>
  <c r="B21" i="21"/>
  <c r="O20" i="21"/>
  <c r="Q20" i="21"/>
  <c r="P20" i="21"/>
  <c r="J20" i="21"/>
  <c r="G20" i="21"/>
  <c r="B20" i="21"/>
  <c r="O19" i="21"/>
  <c r="Q19" i="21"/>
  <c r="P19" i="21"/>
  <c r="J19" i="21"/>
  <c r="G19" i="21"/>
  <c r="B19" i="21"/>
  <c r="O18" i="21"/>
  <c r="Q18" i="21"/>
  <c r="P18" i="21"/>
  <c r="J18" i="21"/>
  <c r="G18" i="21"/>
  <c r="B18" i="21"/>
  <c r="O17" i="21"/>
  <c r="Q17" i="21"/>
  <c r="P17" i="21"/>
  <c r="J17" i="21"/>
  <c r="G17" i="21"/>
  <c r="B17" i="21"/>
  <c r="O16" i="21"/>
  <c r="Q16" i="21"/>
  <c r="P16" i="21"/>
  <c r="J16" i="21"/>
  <c r="G16" i="21"/>
  <c r="B16" i="21"/>
  <c r="O15" i="21"/>
  <c r="Q15" i="21"/>
  <c r="P15" i="21"/>
  <c r="J15" i="21"/>
  <c r="G15" i="21"/>
  <c r="B15" i="21"/>
  <c r="O14" i="21"/>
  <c r="Q14" i="21"/>
  <c r="P14" i="21"/>
  <c r="J14" i="21"/>
  <c r="G14" i="21"/>
  <c r="B14" i="21"/>
  <c r="O13" i="21"/>
  <c r="Q13" i="21"/>
  <c r="P13" i="21"/>
  <c r="J13" i="21"/>
  <c r="G13" i="21"/>
  <c r="B13" i="21"/>
  <c r="O12" i="21"/>
  <c r="Q12" i="21"/>
  <c r="P12" i="21"/>
  <c r="J12" i="21"/>
  <c r="G12" i="21"/>
  <c r="B12" i="21"/>
  <c r="O11" i="21"/>
  <c r="Q11" i="21"/>
  <c r="P11" i="21"/>
  <c r="J11" i="21"/>
  <c r="G11" i="21"/>
  <c r="B11" i="21"/>
  <c r="J10" i="21"/>
  <c r="G10" i="21"/>
  <c r="J9" i="21"/>
  <c r="G9" i="21"/>
  <c r="J8" i="21"/>
  <c r="G8" i="21"/>
  <c r="J7" i="21"/>
  <c r="G7" i="21"/>
  <c r="O8" i="20"/>
  <c r="Q8" i="20"/>
  <c r="O9" i="20"/>
  <c r="Q9" i="20"/>
  <c r="O10" i="20"/>
  <c r="Q10" i="20"/>
  <c r="O11" i="20"/>
  <c r="Q11" i="20"/>
  <c r="O12" i="20"/>
  <c r="O13" i="20"/>
  <c r="O14" i="20"/>
  <c r="O15" i="20"/>
  <c r="O16" i="20"/>
  <c r="O17" i="20"/>
  <c r="O18" i="20"/>
  <c r="O19" i="20"/>
  <c r="O20" i="20"/>
  <c r="O21" i="20"/>
  <c r="O22" i="20"/>
  <c r="O23" i="20"/>
  <c r="O24" i="20"/>
  <c r="O25" i="20"/>
  <c r="O26" i="20"/>
  <c r="O27" i="20"/>
  <c r="O28" i="20"/>
  <c r="O29" i="20"/>
  <c r="O30" i="20"/>
  <c r="O31" i="20"/>
  <c r="O32" i="20"/>
  <c r="O33" i="20"/>
  <c r="O34" i="20"/>
  <c r="O35" i="20"/>
  <c r="O36" i="20"/>
  <c r="O37" i="20"/>
  <c r="Q37" i="20"/>
  <c r="O7" i="20"/>
  <c r="Q7" i="20"/>
  <c r="S37" i="20"/>
  <c r="P37" i="20"/>
  <c r="J37" i="20"/>
  <c r="G37" i="20"/>
  <c r="B37" i="20"/>
  <c r="S36" i="20"/>
  <c r="Q36" i="20"/>
  <c r="P36" i="20"/>
  <c r="J36" i="20"/>
  <c r="G36" i="20"/>
  <c r="B36" i="20"/>
  <c r="S35" i="20"/>
  <c r="Q35" i="20"/>
  <c r="P35" i="20"/>
  <c r="J35" i="20"/>
  <c r="G35" i="20"/>
  <c r="B35" i="20"/>
  <c r="S34" i="20"/>
  <c r="Q34" i="20"/>
  <c r="P34" i="20"/>
  <c r="J34" i="20"/>
  <c r="G34" i="20"/>
  <c r="B34" i="20"/>
  <c r="S33" i="20"/>
  <c r="Q33" i="20"/>
  <c r="P33" i="20"/>
  <c r="J33" i="20"/>
  <c r="G33" i="20"/>
  <c r="B33" i="20"/>
  <c r="S32" i="20"/>
  <c r="Q32" i="20"/>
  <c r="P32" i="20"/>
  <c r="J32" i="20"/>
  <c r="G32" i="20"/>
  <c r="B32" i="20"/>
  <c r="S31" i="20"/>
  <c r="Q31" i="20"/>
  <c r="P31" i="20"/>
  <c r="J31" i="20"/>
  <c r="G31" i="20"/>
  <c r="B31" i="20"/>
  <c r="S30" i="20"/>
  <c r="Q30" i="20"/>
  <c r="P30" i="20"/>
  <c r="J30" i="20"/>
  <c r="G30" i="20"/>
  <c r="B30" i="20"/>
  <c r="S29" i="20"/>
  <c r="Q29" i="20"/>
  <c r="P29" i="20"/>
  <c r="J29" i="20"/>
  <c r="G29" i="20"/>
  <c r="B29" i="20"/>
  <c r="S28" i="20"/>
  <c r="Q28" i="20"/>
  <c r="P28" i="20"/>
  <c r="J28" i="20"/>
  <c r="G28" i="20"/>
  <c r="B28" i="20"/>
  <c r="S27" i="20"/>
  <c r="Q27" i="20"/>
  <c r="P27" i="20"/>
  <c r="J27" i="20"/>
  <c r="G27" i="20"/>
  <c r="B27" i="20"/>
  <c r="S26" i="20"/>
  <c r="Q26" i="20"/>
  <c r="P26" i="20"/>
  <c r="J26" i="20"/>
  <c r="G26" i="20"/>
  <c r="B26" i="20"/>
  <c r="S25" i="20"/>
  <c r="Q25" i="20"/>
  <c r="P25" i="20"/>
  <c r="J25" i="20"/>
  <c r="G25" i="20"/>
  <c r="B25" i="20"/>
  <c r="S24" i="20"/>
  <c r="Q24" i="20"/>
  <c r="P24" i="20"/>
  <c r="J24" i="20"/>
  <c r="G24" i="20"/>
  <c r="B24" i="20"/>
  <c r="S23" i="20"/>
  <c r="Q23" i="20"/>
  <c r="P23" i="20"/>
  <c r="J23" i="20"/>
  <c r="G23" i="20"/>
  <c r="B23" i="20"/>
  <c r="S22" i="20"/>
  <c r="Q22" i="20"/>
  <c r="P22" i="20"/>
  <c r="J22" i="20"/>
  <c r="G22" i="20"/>
  <c r="B22" i="20"/>
  <c r="S21" i="20"/>
  <c r="Q21" i="20"/>
  <c r="P21" i="20"/>
  <c r="J21" i="20"/>
  <c r="G21" i="20"/>
  <c r="B21" i="20"/>
  <c r="S20" i="20"/>
  <c r="Q20" i="20"/>
  <c r="P20" i="20"/>
  <c r="J20" i="20"/>
  <c r="G20" i="20"/>
  <c r="B20" i="20"/>
  <c r="S19" i="20"/>
  <c r="Q19" i="20"/>
  <c r="P19" i="20"/>
  <c r="J19" i="20"/>
  <c r="G19" i="20"/>
  <c r="B19" i="20"/>
  <c r="S18" i="20"/>
  <c r="Q18" i="20"/>
  <c r="P18" i="20"/>
  <c r="J18" i="20"/>
  <c r="G18" i="20"/>
  <c r="B18" i="20"/>
  <c r="S17" i="20"/>
  <c r="Q17" i="20"/>
  <c r="P17" i="20"/>
  <c r="J17" i="20"/>
  <c r="G17" i="20"/>
  <c r="B17" i="20"/>
  <c r="S16" i="20"/>
  <c r="Q16" i="20"/>
  <c r="P16" i="20"/>
  <c r="J16" i="20"/>
  <c r="G16" i="20"/>
  <c r="B16" i="20"/>
  <c r="S15" i="20"/>
  <c r="Q15" i="20"/>
  <c r="P15" i="20"/>
  <c r="J15" i="20"/>
  <c r="G15" i="20"/>
  <c r="B15" i="20"/>
  <c r="S14" i="20"/>
  <c r="Q14" i="20"/>
  <c r="P14" i="20"/>
  <c r="J14" i="20"/>
  <c r="G14" i="20"/>
  <c r="B14" i="20"/>
  <c r="S13" i="20"/>
  <c r="Q13" i="20"/>
  <c r="P13" i="20"/>
  <c r="J13" i="20"/>
  <c r="G13" i="20"/>
  <c r="B13" i="20"/>
  <c r="S12" i="20"/>
  <c r="Q12" i="20"/>
  <c r="P12" i="20"/>
  <c r="J12" i="20"/>
  <c r="G12" i="20"/>
  <c r="B12" i="20"/>
  <c r="S11" i="20"/>
  <c r="P11" i="20"/>
  <c r="J11" i="20"/>
  <c r="G11" i="20"/>
  <c r="B11" i="20"/>
  <c r="S10" i="20"/>
  <c r="J10" i="20"/>
  <c r="G10" i="20"/>
  <c r="B10" i="20"/>
  <c r="B9" i="20"/>
  <c r="P9" i="20"/>
  <c r="S9" i="20"/>
  <c r="J9" i="20"/>
  <c r="G9" i="20"/>
  <c r="P8" i="20"/>
  <c r="S8" i="20"/>
  <c r="J8" i="20"/>
  <c r="G8" i="20"/>
  <c r="B8" i="20"/>
  <c r="B7" i="20"/>
  <c r="P7" i="20"/>
  <c r="S7" i="20"/>
  <c r="J7" i="20"/>
  <c r="G7" i="20"/>
  <c r="O8" i="19"/>
  <c r="Q8" i="19"/>
  <c r="O9" i="19"/>
  <c r="Q9" i="19"/>
  <c r="O10" i="19"/>
  <c r="O11" i="19"/>
  <c r="Q11" i="19"/>
  <c r="O12" i="19"/>
  <c r="Q12" i="19"/>
  <c r="O13" i="19"/>
  <c r="Q13" i="19"/>
  <c r="O14" i="19"/>
  <c r="O15" i="19"/>
  <c r="O16" i="19"/>
  <c r="O17" i="19"/>
  <c r="Q17" i="19"/>
  <c r="O18" i="19"/>
  <c r="O19" i="19"/>
  <c r="O20" i="19"/>
  <c r="O21" i="19"/>
  <c r="Q21" i="19"/>
  <c r="O22" i="19"/>
  <c r="O23" i="19"/>
  <c r="O24" i="19"/>
  <c r="O25" i="19"/>
  <c r="Q25" i="19"/>
  <c r="O26" i="19"/>
  <c r="O27" i="19"/>
  <c r="O28" i="19"/>
  <c r="O29" i="19"/>
  <c r="Q29" i="19"/>
  <c r="O30" i="19"/>
  <c r="O31" i="19"/>
  <c r="O32" i="19"/>
  <c r="O33" i="19"/>
  <c r="Q33" i="19"/>
  <c r="O34" i="19"/>
  <c r="O35" i="19"/>
  <c r="Q35" i="19"/>
  <c r="O36" i="19"/>
  <c r="O37" i="19"/>
  <c r="Q37" i="19"/>
  <c r="O7" i="19"/>
  <c r="S37" i="19"/>
  <c r="P37" i="19"/>
  <c r="J37" i="19"/>
  <c r="G37" i="19"/>
  <c r="B37" i="19"/>
  <c r="S36" i="19"/>
  <c r="Q36" i="19"/>
  <c r="P36" i="19"/>
  <c r="J36" i="19"/>
  <c r="G36" i="19"/>
  <c r="B36" i="19"/>
  <c r="S35" i="19"/>
  <c r="P35" i="19"/>
  <c r="J35" i="19"/>
  <c r="G35" i="19"/>
  <c r="B35" i="19"/>
  <c r="S34" i="19"/>
  <c r="Q34" i="19"/>
  <c r="P34" i="19"/>
  <c r="J34" i="19"/>
  <c r="G34" i="19"/>
  <c r="B34" i="19"/>
  <c r="S33" i="19"/>
  <c r="P33" i="19"/>
  <c r="J33" i="19"/>
  <c r="G33" i="19"/>
  <c r="B33" i="19"/>
  <c r="S32" i="19"/>
  <c r="Q32" i="19"/>
  <c r="P32" i="19"/>
  <c r="J32" i="19"/>
  <c r="G32" i="19"/>
  <c r="B32" i="19"/>
  <c r="S31" i="19"/>
  <c r="Q31" i="19"/>
  <c r="P31" i="19"/>
  <c r="J31" i="19"/>
  <c r="G31" i="19"/>
  <c r="B31" i="19"/>
  <c r="S30" i="19"/>
  <c r="Q30" i="19"/>
  <c r="P30" i="19"/>
  <c r="J30" i="19"/>
  <c r="G30" i="19"/>
  <c r="B30" i="19"/>
  <c r="S29" i="19"/>
  <c r="P29" i="19"/>
  <c r="J29" i="19"/>
  <c r="G29" i="19"/>
  <c r="B29" i="19"/>
  <c r="S28" i="19"/>
  <c r="Q28" i="19"/>
  <c r="P28" i="19"/>
  <c r="J28" i="19"/>
  <c r="G28" i="19"/>
  <c r="B28" i="19"/>
  <c r="S27" i="19"/>
  <c r="Q27" i="19"/>
  <c r="P27" i="19"/>
  <c r="J27" i="19"/>
  <c r="G27" i="19"/>
  <c r="B27" i="19"/>
  <c r="S26" i="19"/>
  <c r="Q26" i="19"/>
  <c r="P26" i="19"/>
  <c r="J26" i="19"/>
  <c r="G26" i="19"/>
  <c r="B26" i="19"/>
  <c r="S25" i="19"/>
  <c r="P25" i="19"/>
  <c r="J25" i="19"/>
  <c r="G25" i="19"/>
  <c r="B25" i="19"/>
  <c r="S24" i="19"/>
  <c r="Q24" i="19"/>
  <c r="P24" i="19"/>
  <c r="J24" i="19"/>
  <c r="G24" i="19"/>
  <c r="B24" i="19"/>
  <c r="S23" i="19"/>
  <c r="Q23" i="19"/>
  <c r="P23" i="19"/>
  <c r="J23" i="19"/>
  <c r="G23" i="19"/>
  <c r="B23" i="19"/>
  <c r="S22" i="19"/>
  <c r="Q22" i="19"/>
  <c r="P22" i="19"/>
  <c r="J22" i="19"/>
  <c r="G22" i="19"/>
  <c r="B22" i="19"/>
  <c r="S21" i="19"/>
  <c r="P21" i="19"/>
  <c r="J21" i="19"/>
  <c r="G21" i="19"/>
  <c r="B21" i="19"/>
  <c r="S20" i="19"/>
  <c r="Q20" i="19"/>
  <c r="P20" i="19"/>
  <c r="J20" i="19"/>
  <c r="G20" i="19"/>
  <c r="B20" i="19"/>
  <c r="S19" i="19"/>
  <c r="Q19" i="19"/>
  <c r="P19" i="19"/>
  <c r="J19" i="19"/>
  <c r="G19" i="19"/>
  <c r="B19" i="19"/>
  <c r="S18" i="19"/>
  <c r="Q18" i="19"/>
  <c r="P18" i="19"/>
  <c r="J18" i="19"/>
  <c r="G18" i="19"/>
  <c r="B18" i="19"/>
  <c r="S17" i="19"/>
  <c r="P17" i="19"/>
  <c r="J17" i="19"/>
  <c r="G17" i="19"/>
  <c r="B17" i="19"/>
  <c r="S16" i="19"/>
  <c r="Q16" i="19"/>
  <c r="P16" i="19"/>
  <c r="J16" i="19"/>
  <c r="G16" i="19"/>
  <c r="B16" i="19"/>
  <c r="S15" i="19"/>
  <c r="Q15" i="19"/>
  <c r="P15" i="19"/>
  <c r="J15" i="19"/>
  <c r="G15" i="19"/>
  <c r="B15" i="19"/>
  <c r="S14" i="19"/>
  <c r="Q14" i="19"/>
  <c r="P14" i="19"/>
  <c r="J14" i="19"/>
  <c r="G14" i="19"/>
  <c r="B14" i="19"/>
  <c r="S13" i="19"/>
  <c r="P13" i="19"/>
  <c r="J13" i="19"/>
  <c r="G13" i="19"/>
  <c r="B13" i="19"/>
  <c r="S12" i="19"/>
  <c r="P12" i="19"/>
  <c r="J12" i="19"/>
  <c r="G12" i="19"/>
  <c r="B12" i="19"/>
  <c r="S11" i="19"/>
  <c r="P11" i="19"/>
  <c r="J11" i="19"/>
  <c r="G11" i="19"/>
  <c r="B11" i="19"/>
  <c r="P10" i="19"/>
  <c r="Q10" i="19"/>
  <c r="S10" i="19"/>
  <c r="S7" i="19"/>
  <c r="S8" i="19"/>
  <c r="S9" i="19"/>
  <c r="S6" i="19"/>
  <c r="J10" i="19"/>
  <c r="G10" i="19"/>
  <c r="B10" i="19"/>
  <c r="B9" i="19"/>
  <c r="P9" i="19"/>
  <c r="J9" i="19"/>
  <c r="G9" i="19"/>
  <c r="P8" i="19"/>
  <c r="J8" i="19"/>
  <c r="G8" i="19"/>
  <c r="B8" i="19"/>
  <c r="B7" i="19"/>
  <c r="P7" i="19"/>
  <c r="Q7" i="19"/>
  <c r="J7" i="19"/>
  <c r="G7" i="19"/>
  <c r="O11" i="4"/>
  <c r="O12" i="4"/>
  <c r="Q12" i="4"/>
  <c r="O13" i="4"/>
  <c r="O14" i="4"/>
  <c r="O15" i="4"/>
  <c r="O16" i="4"/>
  <c r="Q16" i="4"/>
  <c r="O17" i="4"/>
  <c r="O18" i="4"/>
  <c r="O19" i="4"/>
  <c r="O20" i="4"/>
  <c r="Q20" i="4"/>
  <c r="O21" i="4"/>
  <c r="O22" i="4"/>
  <c r="O23" i="4"/>
  <c r="O24" i="4"/>
  <c r="Q24" i="4"/>
  <c r="O25" i="4"/>
  <c r="O26" i="4"/>
  <c r="O27" i="4"/>
  <c r="O28" i="4"/>
  <c r="Q28" i="4"/>
  <c r="O29" i="4"/>
  <c r="O30" i="4"/>
  <c r="O31" i="4"/>
  <c r="O32" i="4"/>
  <c r="Q32" i="4"/>
  <c r="O33" i="4"/>
  <c r="O34" i="4"/>
  <c r="O35" i="4"/>
  <c r="O36" i="4"/>
  <c r="Q36" i="4"/>
  <c r="O37" i="4"/>
  <c r="Q11" i="4"/>
  <c r="Q13" i="4"/>
  <c r="Q14" i="4"/>
  <c r="Q15" i="4"/>
  <c r="Q17" i="4"/>
  <c r="Q18" i="4"/>
  <c r="Q19" i="4"/>
  <c r="Q21" i="4"/>
  <c r="Q22" i="4"/>
  <c r="Q23" i="4"/>
  <c r="Q25" i="4"/>
  <c r="Q26" i="4"/>
  <c r="Q27" i="4"/>
  <c r="Q29" i="4"/>
  <c r="Q30" i="4"/>
  <c r="Q31" i="4"/>
  <c r="Q33" i="4"/>
  <c r="Q34" i="4"/>
  <c r="Q35" i="4"/>
  <c r="Q37" i="4"/>
  <c r="P11" i="4"/>
  <c r="P12" i="4"/>
  <c r="P13" i="4"/>
  <c r="P14" i="4"/>
  <c r="P15" i="4"/>
  <c r="P16" i="4"/>
  <c r="P17" i="4"/>
  <c r="P18" i="4"/>
  <c r="P19" i="4"/>
  <c r="P20" i="4"/>
  <c r="P21" i="4"/>
  <c r="P22" i="4"/>
  <c r="P23" i="4"/>
  <c r="P24" i="4"/>
  <c r="P25" i="4"/>
  <c r="P26" i="4"/>
  <c r="P27" i="4"/>
  <c r="P28" i="4"/>
  <c r="P29" i="4"/>
  <c r="P30" i="4"/>
  <c r="P31" i="4"/>
  <c r="P32" i="4"/>
  <c r="P33" i="4"/>
  <c r="P34" i="4"/>
  <c r="P35" i="4"/>
  <c r="P36" i="4"/>
  <c r="P37"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7" i="4"/>
  <c r="K10" i="12"/>
  <c r="K11" i="12"/>
  <c r="K12" i="12"/>
  <c r="K13" i="12"/>
  <c r="K14" i="12"/>
  <c r="K15" i="12"/>
  <c r="K16" i="12"/>
  <c r="K17" i="12"/>
  <c r="K18" i="12"/>
  <c r="K19" i="12"/>
  <c r="K20" i="12"/>
  <c r="K21" i="12"/>
  <c r="K22" i="12"/>
  <c r="K23" i="12"/>
  <c r="K24" i="12"/>
  <c r="K25" i="12"/>
  <c r="K26" i="12"/>
  <c r="K27" i="12"/>
  <c r="K28" i="12"/>
  <c r="K29" i="12"/>
  <c r="K30" i="12"/>
  <c r="K31" i="12"/>
  <c r="K32" i="12"/>
  <c r="K33" i="12"/>
  <c r="K9" i="12"/>
  <c r="C12" i="15"/>
  <c r="E12" i="15"/>
  <c r="B8" i="2"/>
  <c r="C13" i="15"/>
  <c r="E13" i="15"/>
  <c r="B9" i="2"/>
  <c r="C14" i="15"/>
  <c r="C15" i="15"/>
  <c r="C16" i="15"/>
  <c r="C17" i="15"/>
  <c r="C18" i="15"/>
  <c r="C19" i="15"/>
  <c r="C20" i="15"/>
  <c r="C21" i="15"/>
  <c r="C22" i="15"/>
  <c r="C23" i="15"/>
  <c r="C24" i="15"/>
  <c r="C25" i="15"/>
  <c r="C11" i="15"/>
  <c r="E11" i="15"/>
  <c r="D11" i="15"/>
  <c r="C1" i="2"/>
  <c r="D12" i="15"/>
  <c r="D13" i="15"/>
  <c r="D14" i="15"/>
  <c r="B11" i="4"/>
  <c r="B8" i="1"/>
  <c r="G8" i="1"/>
  <c r="H8" i="1"/>
  <c r="J8" i="1"/>
  <c r="K8" i="1"/>
  <c r="M8"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P8" i="1"/>
  <c r="Q8" i="1"/>
  <c r="B9" i="1"/>
  <c r="G9" i="1"/>
  <c r="H9" i="1"/>
  <c r="J9"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M9" i="1"/>
  <c r="P9"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D15" i="15"/>
  <c r="D16" i="15"/>
  <c r="D17" i="15"/>
  <c r="D18" i="15"/>
  <c r="D19" i="15"/>
  <c r="D20" i="15"/>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D9" i="1"/>
  <c r="D10" i="1"/>
  <c r="D11" i="1"/>
  <c r="D8"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6" i="1"/>
  <c r="B13" i="1"/>
  <c r="G13" i="1"/>
  <c r="H13" i="1"/>
  <c r="J13" i="1"/>
  <c r="M13" i="1"/>
  <c r="P13" i="1"/>
  <c r="B10" i="1"/>
  <c r="G10" i="1"/>
  <c r="H10" i="1"/>
  <c r="H11" i="1"/>
  <c r="H12"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J10" i="1"/>
  <c r="M10" i="1"/>
  <c r="P10" i="1"/>
  <c r="B11" i="1"/>
  <c r="G11" i="1"/>
  <c r="J11" i="1"/>
  <c r="M11" i="1"/>
  <c r="P11" i="1"/>
  <c r="B12" i="1"/>
  <c r="G12" i="1"/>
  <c r="J12" i="1"/>
  <c r="M12" i="1"/>
  <c r="P12" i="1"/>
  <c r="B14" i="1"/>
  <c r="G14" i="1"/>
  <c r="J14" i="1"/>
  <c r="M14" i="1"/>
  <c r="P14" i="1"/>
  <c r="H82" i="1"/>
  <c r="K82" i="1"/>
  <c r="N82" i="1"/>
  <c r="Q82" i="1"/>
  <c r="H83" i="1"/>
  <c r="K83" i="1"/>
  <c r="N83" i="1"/>
  <c r="Q83" i="1"/>
  <c r="H84" i="1"/>
  <c r="K84" i="1"/>
  <c r="N84" i="1"/>
  <c r="Q84" i="1"/>
  <c r="H85" i="1"/>
  <c r="K85" i="1"/>
  <c r="N85" i="1"/>
  <c r="Q85" i="1"/>
  <c r="H86" i="1"/>
  <c r="K86" i="1"/>
  <c r="N86" i="1"/>
  <c r="Q86" i="1"/>
  <c r="H87" i="1"/>
  <c r="K87" i="1"/>
  <c r="N87" i="1"/>
  <c r="Q87" i="1"/>
  <c r="H88" i="1"/>
  <c r="K88" i="1"/>
  <c r="N88" i="1"/>
  <c r="Q88" i="1"/>
  <c r="H89" i="1"/>
  <c r="K89" i="1"/>
  <c r="N89" i="1"/>
  <c r="Q89" i="1"/>
  <c r="H90" i="1"/>
  <c r="K90" i="1"/>
  <c r="N90" i="1"/>
  <c r="Q90" i="1"/>
  <c r="H91" i="1"/>
  <c r="K91" i="1"/>
  <c r="N91" i="1"/>
  <c r="Q91" i="1"/>
  <c r="H92" i="1"/>
  <c r="K92" i="1"/>
  <c r="N92" i="1"/>
  <c r="Q92" i="1"/>
  <c r="H93" i="1"/>
  <c r="K93" i="1"/>
  <c r="N93" i="1"/>
  <c r="Q93" i="1"/>
  <c r="H94" i="1"/>
  <c r="K94" i="1"/>
  <c r="N94" i="1"/>
  <c r="Q94" i="1"/>
  <c r="H95" i="1"/>
  <c r="K95" i="1"/>
  <c r="N95" i="1"/>
  <c r="Q95" i="1"/>
  <c r="H96" i="1"/>
  <c r="K96" i="1"/>
  <c r="N96" i="1"/>
  <c r="Q96" i="1"/>
  <c r="H97" i="1"/>
  <c r="K97" i="1"/>
  <c r="N97" i="1"/>
  <c r="Q97" i="1"/>
  <c r="H98" i="1"/>
  <c r="K98" i="1"/>
  <c r="N98" i="1"/>
  <c r="Q98" i="1"/>
  <c r="H99" i="1"/>
  <c r="K99" i="1"/>
  <c r="N99" i="1"/>
  <c r="Q99" i="1"/>
  <c r="H100" i="1"/>
  <c r="K100" i="1"/>
  <c r="N100" i="1"/>
  <c r="Q100" i="1"/>
  <c r="H101" i="1"/>
  <c r="K101" i="1"/>
  <c r="N101" i="1"/>
  <c r="Q101" i="1"/>
  <c r="H102" i="1"/>
  <c r="K102" i="1"/>
  <c r="N102" i="1"/>
  <c r="Q102" i="1"/>
  <c r="H103" i="1"/>
  <c r="K103" i="1"/>
  <c r="N103" i="1"/>
  <c r="Q103" i="1"/>
  <c r="H104" i="1"/>
  <c r="K104" i="1"/>
  <c r="N104" i="1"/>
  <c r="Q104" i="1"/>
  <c r="H105" i="1"/>
  <c r="K105" i="1"/>
  <c r="N105" i="1"/>
  <c r="Q105" i="1"/>
  <c r="H106" i="1"/>
  <c r="K106" i="1"/>
  <c r="N106" i="1"/>
  <c r="Q106" i="1"/>
  <c r="H107" i="1"/>
  <c r="K107" i="1"/>
  <c r="N107" i="1"/>
  <c r="Q107" i="1"/>
  <c r="H108" i="1"/>
  <c r="K108" i="1"/>
  <c r="N108" i="1"/>
  <c r="Q108" i="1"/>
  <c r="H109" i="1"/>
  <c r="K109" i="1"/>
  <c r="N109" i="1"/>
  <c r="Q109" i="1"/>
  <c r="B15" i="1"/>
  <c r="G15" i="1"/>
  <c r="J15" i="1"/>
  <c r="M15" i="1"/>
  <c r="P15" i="1"/>
  <c r="B16" i="1"/>
  <c r="G16" i="1"/>
  <c r="J16" i="1"/>
  <c r="M16" i="1"/>
  <c r="P16" i="1"/>
  <c r="B17" i="1"/>
  <c r="G17" i="1"/>
  <c r="J17" i="1"/>
  <c r="M17" i="1"/>
  <c r="P17" i="1"/>
  <c r="B37" i="4"/>
  <c r="B36" i="4"/>
  <c r="B35" i="4"/>
  <c r="B34" i="4"/>
  <c r="B33" i="4"/>
  <c r="B32" i="4"/>
  <c r="B31" i="4"/>
  <c r="B30" i="4"/>
  <c r="B29" i="4"/>
  <c r="B28" i="4"/>
  <c r="B27" i="4"/>
  <c r="B26" i="4"/>
  <c r="B25" i="4"/>
  <c r="B24" i="4"/>
  <c r="B23" i="4"/>
  <c r="B22" i="4"/>
  <c r="B21" i="4"/>
  <c r="B20" i="4"/>
  <c r="B19" i="4"/>
  <c r="B18" i="4"/>
  <c r="B17" i="4"/>
  <c r="B16" i="4"/>
  <c r="B15" i="4"/>
  <c r="B14" i="4"/>
  <c r="B13" i="4"/>
  <c r="B12" i="4"/>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6" i="6"/>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8"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8" i="16"/>
  <c r="B9" i="16"/>
  <c r="B10" i="16"/>
  <c r="B11" i="16"/>
  <c r="B12" i="16"/>
  <c r="B13" i="16"/>
  <c r="B14" i="16"/>
  <c r="B15" i="16"/>
  <c r="B16" i="16"/>
  <c r="B17" i="16"/>
  <c r="B18" i="16"/>
  <c r="B19" i="16"/>
  <c r="B20" i="16"/>
  <c r="B7" i="16"/>
  <c r="C5" i="8"/>
  <c r="G5" i="5"/>
  <c r="F5" i="5"/>
  <c r="F6" i="1"/>
  <c r="I6" i="1"/>
  <c r="L6" i="1"/>
  <c r="O6" i="1"/>
  <c r="F5" i="6"/>
  <c r="G5" i="6"/>
  <c r="G6" i="2"/>
  <c r="S6" i="20"/>
  <c r="D7" i="2"/>
  <c r="F7" i="2"/>
  <c r="C9" i="2"/>
  <c r="G7" i="2"/>
  <c r="D19" i="2"/>
  <c r="N7" i="1"/>
  <c r="K7" i="1"/>
  <c r="Q7" i="1"/>
  <c r="B7" i="2"/>
  <c r="E5" i="15"/>
  <c r="F5" i="15"/>
  <c r="B6" i="2"/>
  <c r="D9" i="2"/>
  <c r="H7" i="1"/>
  <c r="D21" i="2"/>
  <c r="E7" i="2"/>
  <c r="Q6" i="22"/>
  <c r="Q6" i="19"/>
  <c r="Q6" i="20"/>
  <c r="Q6" i="21"/>
  <c r="Q6" i="4"/>
  <c r="C19" i="2"/>
  <c r="H18" i="2"/>
  <c r="H10" i="2"/>
  <c r="F10" i="2"/>
  <c r="H8" i="2"/>
  <c r="B10" i="15"/>
  <c r="H21" i="2"/>
  <c r="F21" i="2"/>
  <c r="C20" i="2"/>
  <c r="H19" i="2"/>
  <c r="F19" i="2"/>
  <c r="C18" i="2"/>
  <c r="H17" i="2"/>
  <c r="F17" i="2"/>
  <c r="C16" i="2"/>
  <c r="H15" i="2"/>
  <c r="F15" i="2"/>
  <c r="C14" i="2"/>
  <c r="H13" i="2"/>
  <c r="F13" i="2"/>
  <c r="C12" i="2"/>
  <c r="H11" i="2"/>
  <c r="F11" i="2"/>
  <c r="C10" i="2"/>
  <c r="H9" i="2"/>
  <c r="F9" i="2"/>
  <c r="C8" i="2"/>
  <c r="B8" i="15"/>
  <c r="H5" i="5"/>
  <c r="I5" i="5"/>
  <c r="E6" i="2"/>
  <c r="C17" i="2"/>
  <c r="H16" i="2"/>
  <c r="H14" i="2"/>
  <c r="C13" i="2"/>
  <c r="G5" i="8"/>
  <c r="H6" i="2"/>
  <c r="G21" i="2"/>
  <c r="E21" i="2"/>
  <c r="D20" i="2"/>
  <c r="G19" i="2"/>
  <c r="E19" i="2"/>
  <c r="D18" i="2"/>
  <c r="G17" i="2"/>
  <c r="E17" i="2"/>
  <c r="D16" i="2"/>
  <c r="G15" i="2"/>
  <c r="E15" i="2"/>
  <c r="D14" i="2"/>
  <c r="G13" i="2"/>
  <c r="E13" i="2"/>
  <c r="D12" i="2"/>
  <c r="G11" i="2"/>
  <c r="E11" i="2"/>
  <c r="D10" i="2"/>
  <c r="G9" i="2"/>
  <c r="E9" i="2"/>
  <c r="D8" i="2"/>
  <c r="B7" i="15"/>
  <c r="C21" i="2"/>
  <c r="H20" i="2"/>
  <c r="C15" i="2"/>
  <c r="F14" i="2"/>
  <c r="C11" i="2"/>
  <c r="F8" i="2"/>
  <c r="E7" i="1"/>
  <c r="D6" i="2"/>
  <c r="G20" i="2"/>
  <c r="G18" i="2"/>
  <c r="D17" i="2"/>
  <c r="G16" i="2"/>
  <c r="D15" i="2"/>
  <c r="G14" i="2"/>
  <c r="D13" i="2"/>
  <c r="G12" i="2"/>
  <c r="D11" i="2"/>
  <c r="G10" i="2"/>
  <c r="G8" i="2"/>
  <c r="I7" i="2"/>
  <c r="I21" i="2"/>
  <c r="I19" i="2"/>
  <c r="I15" i="2"/>
  <c r="I8" i="2"/>
  <c r="I16" i="2"/>
  <c r="I10" i="2"/>
  <c r="I18" i="2"/>
  <c r="I17" i="2"/>
  <c r="I14" i="2"/>
  <c r="I9" i="2"/>
  <c r="I11" i="2"/>
  <c r="I13" i="2"/>
  <c r="I12" i="2"/>
  <c r="I20" i="2"/>
  <c r="I6" i="2"/>
  <c r="C5" i="14"/>
  <c r="J6" i="2"/>
  <c r="D5" i="14"/>
</calcChain>
</file>

<file path=xl/comments1.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P5" authorId="0" shapeId="0">
      <text>
        <r>
          <rPr>
            <sz val="8"/>
            <color indexed="81"/>
            <rFont val="Tahoma"/>
            <family val="2"/>
            <charset val="238"/>
          </rPr>
          <t>A joint staff training rátáival számol</t>
        </r>
      </text>
    </comment>
    <comment ref="R5" authorId="0" shapeId="0">
      <text>
        <r>
          <rPr>
            <sz val="8"/>
            <color indexed="81"/>
            <rFont val="Tahoma"/>
            <family val="2"/>
            <charset val="238"/>
          </rPr>
          <t>Csak Long… esetén</t>
        </r>
      </text>
    </comment>
  </commentList>
</comments>
</file>

<file path=xl/comments2.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Nem lehet</t>
        </r>
      </text>
    </comment>
    <comment ref="I4" authorId="0" shapeId="0">
      <text>
        <r>
          <rPr>
            <sz val="8"/>
            <color indexed="81"/>
            <rFont val="Tahoma"/>
            <family val="2"/>
            <charset val="238"/>
          </rPr>
          <t>Nem lehet hosszabb, mint a részvevőké</t>
        </r>
      </text>
    </comment>
    <comment ref="P5" authorId="0" shapeId="0">
      <text>
        <r>
          <rPr>
            <sz val="8"/>
            <color indexed="81"/>
            <rFont val="Tahoma"/>
            <family val="2"/>
            <charset val="238"/>
          </rPr>
          <t>A joint staff training rátáival számol</t>
        </r>
      </text>
    </comment>
    <comment ref="R5" authorId="0" shapeId="0">
      <text>
        <r>
          <rPr>
            <sz val="8"/>
            <color indexed="81"/>
            <rFont val="Tahoma"/>
            <family val="2"/>
            <charset val="238"/>
          </rPr>
          <t>Csak Long… esetén</t>
        </r>
      </text>
    </comment>
  </commentList>
</comments>
</file>

<file path=xl/comments3.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P5" authorId="0" shapeId="0">
      <text>
        <r>
          <rPr>
            <sz val="8"/>
            <color indexed="81"/>
            <rFont val="Tahoma"/>
            <family val="2"/>
            <charset val="238"/>
          </rPr>
          <t>A joint staff training rátáival számol</t>
        </r>
      </text>
    </comment>
    <comment ref="R5" authorId="0" shapeId="0">
      <text>
        <r>
          <rPr>
            <sz val="8"/>
            <color indexed="81"/>
            <rFont val="Tahoma"/>
            <family val="2"/>
            <charset val="238"/>
          </rPr>
          <t>Csak Long… esetén</t>
        </r>
      </text>
    </comment>
  </commentList>
</comments>
</file>

<file path=xl/comments4.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Short-term blended…, Short-term exchanges… és Long-term study... esetén</t>
        </r>
      </text>
    </comment>
    <comment ref="I4" authorId="0" shapeId="0">
      <text>
        <r>
          <rPr>
            <sz val="8"/>
            <color indexed="81"/>
            <rFont val="Tahoma"/>
            <family val="2"/>
            <charset val="238"/>
          </rPr>
          <t>Nem lehet hosszabb, mint a részvevőké</t>
        </r>
      </text>
    </comment>
    <comment ref="P5" authorId="0" shapeId="0">
      <text>
        <r>
          <rPr>
            <sz val="8"/>
            <color indexed="81"/>
            <rFont val="Tahoma"/>
            <family val="2"/>
            <charset val="238"/>
          </rPr>
          <t>A joint staff training rátáival számol</t>
        </r>
      </text>
    </comment>
    <comment ref="R5" authorId="0" shapeId="0">
      <text>
        <r>
          <rPr>
            <sz val="8"/>
            <color indexed="81"/>
            <rFont val="Tahoma"/>
            <family val="2"/>
            <charset val="238"/>
          </rPr>
          <t>Csak Long… esetén</t>
        </r>
      </text>
    </comment>
  </commentList>
</comments>
</file>

<file path=xl/comments5.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P5" authorId="0" shapeId="0">
      <text>
        <r>
          <rPr>
            <sz val="8"/>
            <color indexed="81"/>
            <rFont val="Tahoma"/>
            <family val="2"/>
            <charset val="238"/>
          </rPr>
          <t>A joint staff training rátáival számol</t>
        </r>
      </text>
    </comment>
    <comment ref="R5" authorId="0" shapeId="0">
      <text>
        <r>
          <rPr>
            <sz val="8"/>
            <color indexed="81"/>
            <rFont val="Tahoma"/>
            <family val="2"/>
            <charset val="238"/>
          </rPr>
          <t>Csak Long… esetén</t>
        </r>
      </text>
    </comment>
  </commentList>
</comments>
</file>

<file path=xl/sharedStrings.xml><?xml version="1.0" encoding="utf-8"?>
<sst xmlns="http://schemas.openxmlformats.org/spreadsheetml/2006/main" count="765" uniqueCount="524">
  <si>
    <t>All figures in Euro</t>
  </si>
  <si>
    <t> </t>
  </si>
  <si>
    <t>Description</t>
  </si>
  <si>
    <t xml:space="preserve">3. Technical </t>
  </si>
  <si>
    <t xml:space="preserve">4. Administrative </t>
  </si>
  <si>
    <t>AT</t>
  </si>
  <si>
    <t>CZ</t>
  </si>
  <si>
    <t>CY</t>
  </si>
  <si>
    <t>BE</t>
  </si>
  <si>
    <t>DK</t>
  </si>
  <si>
    <t>DE</t>
  </si>
  <si>
    <t>EE</t>
  </si>
  <si>
    <t>ES</t>
  </si>
  <si>
    <t>FR</t>
  </si>
  <si>
    <t>IE</t>
  </si>
  <si>
    <t>IT</t>
  </si>
  <si>
    <t>LT</t>
  </si>
  <si>
    <t>LU</t>
  </si>
  <si>
    <t>HU</t>
  </si>
  <si>
    <t>MT</t>
  </si>
  <si>
    <t>NL</t>
  </si>
  <si>
    <t>PL</t>
  </si>
  <si>
    <t>PT</t>
  </si>
  <si>
    <t>SI</t>
  </si>
  <si>
    <t>SK</t>
  </si>
  <si>
    <t>FI</t>
  </si>
  <si>
    <t>SE</t>
  </si>
  <si>
    <t>IS</t>
  </si>
  <si>
    <t>LI</t>
  </si>
  <si>
    <t>NO</t>
  </si>
  <si>
    <t>BG</t>
  </si>
  <si>
    <t>RO</t>
  </si>
  <si>
    <t>Country</t>
  </si>
  <si>
    <t>Cost per day</t>
  </si>
  <si>
    <t xml:space="preserve">1. Manager </t>
  </si>
  <si>
    <t>Total costs</t>
  </si>
  <si>
    <t xml:space="preserve"> Staff by category</t>
  </si>
  <si>
    <t>Overall total number of working days</t>
  </si>
  <si>
    <t>Manager</t>
  </si>
  <si>
    <t>Technical</t>
  </si>
  <si>
    <t>Administrative</t>
  </si>
  <si>
    <t>GB</t>
  </si>
  <si>
    <t>TR</t>
  </si>
  <si>
    <t>STAFF 
costs ceilings</t>
  </si>
  <si>
    <t>Country 
Code</t>
  </si>
  <si>
    <t>Researcher
Teacher
Trainer</t>
  </si>
  <si>
    <t>EL</t>
  </si>
  <si>
    <t>LV</t>
  </si>
  <si>
    <t>Project Acronym:</t>
  </si>
  <si>
    <t>WORKPLAN AND WORK PACKAGES</t>
  </si>
  <si>
    <t>Project duration</t>
  </si>
  <si>
    <t>HR</t>
  </si>
  <si>
    <t>Belgium</t>
  </si>
  <si>
    <t>Bulgária</t>
  </si>
  <si>
    <t>Dánia</t>
  </si>
  <si>
    <t>Németország</t>
  </si>
  <si>
    <t>Észtország</t>
  </si>
  <si>
    <t>Görögország</t>
  </si>
  <si>
    <t>Spanyolország</t>
  </si>
  <si>
    <t>Írország</t>
  </si>
  <si>
    <t>Olaszország</t>
  </si>
  <si>
    <t>Ciprus</t>
  </si>
  <si>
    <t>Lettország</t>
  </si>
  <si>
    <t>Litvánia</t>
  </si>
  <si>
    <t>Luxembourg</t>
  </si>
  <si>
    <t>Magyarország</t>
  </si>
  <si>
    <t>Hollandia</t>
  </si>
  <si>
    <t>Ausztria</t>
  </si>
  <si>
    <t>Lengyelország</t>
  </si>
  <si>
    <t>Szlovénia</t>
  </si>
  <si>
    <t>Szlovákia</t>
  </si>
  <si>
    <t>Finnország</t>
  </si>
  <si>
    <t>Svédország</t>
  </si>
  <si>
    <t>Izland</t>
  </si>
  <si>
    <t>Liechtenstein</t>
  </si>
  <si>
    <t>Norvégia</t>
  </si>
  <si>
    <t>Horvátország</t>
  </si>
  <si>
    <t>Törökország</t>
  </si>
  <si>
    <t>MK</t>
  </si>
  <si>
    <t>Franciaország</t>
  </si>
  <si>
    <t>Portugália</t>
  </si>
  <si>
    <t>Románia</t>
  </si>
  <si>
    <t>Macedónia</t>
  </si>
  <si>
    <t>Málta</t>
  </si>
  <si>
    <t>Csehország</t>
  </si>
  <si>
    <t>Egyesült Királyság</t>
  </si>
  <si>
    <t>Görögörszág</t>
  </si>
  <si>
    <t>Luxemburg</t>
  </si>
  <si>
    <t>Partner meetings</t>
  </si>
  <si>
    <t>Project management and implementation - GRANT REQUESTED</t>
  </si>
  <si>
    <t>Program Countries</t>
  </si>
  <si>
    <t>Partner Countries</t>
  </si>
  <si>
    <t>San Marino</t>
  </si>
  <si>
    <t>United States of America</t>
  </si>
  <si>
    <t>Andorra</t>
  </si>
  <si>
    <t>Bahamas</t>
  </si>
  <si>
    <t>Afghanistan</t>
  </si>
  <si>
    <t>Project duration (months)</t>
  </si>
  <si>
    <t>Grant requested / months</t>
  </si>
  <si>
    <t>Grant requested / total</t>
  </si>
  <si>
    <t>Intellectual outputs - GRANT REQUESTED</t>
  </si>
  <si>
    <t>Total grant - staff by category</t>
  </si>
  <si>
    <t>Countries</t>
  </si>
  <si>
    <t>Australia</t>
  </si>
  <si>
    <t>Canada</t>
  </si>
  <si>
    <t>Kuwait</t>
  </si>
  <si>
    <t>Macao</t>
  </si>
  <si>
    <t>Monaco</t>
  </si>
  <si>
    <t>Qatar</t>
  </si>
  <si>
    <t>Project management and implementation</t>
  </si>
  <si>
    <t>Transnational training, teaching and learning</t>
  </si>
  <si>
    <t>Special needs support</t>
  </si>
  <si>
    <t>Short term joint staff training events</t>
  </si>
  <si>
    <t>Only for activities lasting between 2 and 12 months needing linguistic support:
per participant</t>
  </si>
  <si>
    <t>Conditional: the request for financial support must be motivated in the application form</t>
  </si>
  <si>
    <t>Conditional: applicants will have to justify that mobility activities are necessary to achieve the objectives and results of the project.
Travel distances must be calculated using the distance calculator supported by the European Commission.</t>
  </si>
  <si>
    <t>Transnational Project Meetings - GRANT REQUESTED</t>
  </si>
  <si>
    <t>For travel distances of 2000 KM or more:</t>
  </si>
  <si>
    <t>Number of working days on the item</t>
  </si>
  <si>
    <t>Purpose of the meeting</t>
  </si>
  <si>
    <t>Distance Band</t>
  </si>
  <si>
    <t>Grant Requested</t>
  </si>
  <si>
    <t>Duration (days)</t>
  </si>
  <si>
    <t>Distance band</t>
  </si>
  <si>
    <t>100-1999 km</t>
  </si>
  <si>
    <t>Intellectual outputs</t>
  </si>
  <si>
    <t>more than 2000 km</t>
  </si>
  <si>
    <t>Transnational Project meetings</t>
  </si>
  <si>
    <t>Exceptional costs</t>
  </si>
  <si>
    <t>Intellectual Outputs</t>
  </si>
  <si>
    <t>Grant requested</t>
  </si>
  <si>
    <t xml:space="preserve">Total grant requested
</t>
  </si>
  <si>
    <t>Total grant requested</t>
  </si>
  <si>
    <t>Event Identification</t>
  </si>
  <si>
    <t>Nr. of Local Participants</t>
  </si>
  <si>
    <t>Nr. of Foreign Participants</t>
  </si>
  <si>
    <t>Total grant  requested</t>
  </si>
  <si>
    <t>Overall 
total grant requested</t>
  </si>
  <si>
    <t>Special Needs - GRANT REQUESTED</t>
  </si>
  <si>
    <t>Nr. of Participants with Special Needs</t>
  </si>
  <si>
    <t>List of activities to which the item refers to</t>
  </si>
  <si>
    <t>Exceptional Costs - GRANT REQUESTED</t>
  </si>
  <si>
    <t>Description of Cost Item</t>
  </si>
  <si>
    <t>MultiplIer Events - GRANT REQUESTED</t>
  </si>
  <si>
    <t>Activity type</t>
  </si>
  <si>
    <t>Nr. of Participants</t>
  </si>
  <si>
    <t>Travel Grant Requested</t>
  </si>
  <si>
    <t>Multiplier Events</t>
  </si>
  <si>
    <t>For travel distances between 100 and 1999 KM:</t>
  </si>
  <si>
    <t>Grant/ participants</t>
  </si>
  <si>
    <t>Limit of grant</t>
  </si>
  <si>
    <t>Limit</t>
  </si>
  <si>
    <t xml:space="preserve">Limit of grant </t>
  </si>
  <si>
    <t>between the 15 th and 60 th day of activity: per day per participant</t>
  </si>
  <si>
    <t>Brunei</t>
  </si>
  <si>
    <t>Japan</t>
  </si>
  <si>
    <t>New Zealand</t>
  </si>
  <si>
    <t>Singapore</t>
  </si>
  <si>
    <t>United Arab Emirates</t>
  </si>
  <si>
    <t>Vatican City State</t>
  </si>
  <si>
    <t>Bahrain</t>
  </si>
  <si>
    <t>Equatorial Guinea</t>
  </si>
  <si>
    <t>Hong Kong</t>
  </si>
  <si>
    <t>Israel</t>
  </si>
  <si>
    <t>Korea (Republic of)</t>
  </si>
  <si>
    <t>Oman</t>
  </si>
  <si>
    <t>Saudi Arabia</t>
  </si>
  <si>
    <t>Taiwan</t>
  </si>
  <si>
    <t>Albania</t>
  </si>
  <si>
    <t>Algeria</t>
  </si>
  <si>
    <t>Angola</t>
  </si>
  <si>
    <t>Antigua and Barbuda</t>
  </si>
  <si>
    <t>Argentina</t>
  </si>
  <si>
    <t>Armenia</t>
  </si>
  <si>
    <t>Azerbaijan</t>
  </si>
  <si>
    <t>Bangladesh</t>
  </si>
  <si>
    <t>Barbados</t>
  </si>
  <si>
    <t>Chile</t>
  </si>
  <si>
    <t>Belarus</t>
  </si>
  <si>
    <t>Belize</t>
  </si>
  <si>
    <t>Benin</t>
  </si>
  <si>
    <t>Bhutan</t>
  </si>
  <si>
    <t>Bolivia</t>
  </si>
  <si>
    <t>Bosnia and Herzegovina</t>
  </si>
  <si>
    <t>Botswana</t>
  </si>
  <si>
    <t>Brazil</t>
  </si>
  <si>
    <t>Burkina Faso</t>
  </si>
  <si>
    <t>Burundi</t>
  </si>
  <si>
    <t>Cambodia</t>
  </si>
  <si>
    <t>Cameroon</t>
  </si>
  <si>
    <t>Cape Verde</t>
  </si>
  <si>
    <t>Central African Republic</t>
  </si>
  <si>
    <t>Chad</t>
  </si>
  <si>
    <t>China</t>
  </si>
  <si>
    <t>Colombia</t>
  </si>
  <si>
    <t>Comoros</t>
  </si>
  <si>
    <t>Congo (Brazzaville)</t>
  </si>
  <si>
    <t>Congo (Kinshasa)</t>
  </si>
  <si>
    <t>Cook Islands</t>
  </si>
  <si>
    <t>Costa Rica</t>
  </si>
  <si>
    <t>Cuba</t>
  </si>
  <si>
    <t>Djibouti</t>
  </si>
  <si>
    <t>Dominica</t>
  </si>
  <si>
    <t>Dominican Republic</t>
  </si>
  <si>
    <t>East Timor</t>
  </si>
  <si>
    <t>Ecuador</t>
  </si>
  <si>
    <t>Egypt</t>
  </si>
  <si>
    <t>El Salvador</t>
  </si>
  <si>
    <t>Eritrea</t>
  </si>
  <si>
    <t>Ethiopia</t>
  </si>
  <si>
    <t>Fiji</t>
  </si>
  <si>
    <t>Gabon</t>
  </si>
  <si>
    <t>Gambia</t>
  </si>
  <si>
    <t>Georgia</t>
  </si>
  <si>
    <t>Ghana</t>
  </si>
  <si>
    <t>Grenada</t>
  </si>
  <si>
    <t>Guatemala</t>
  </si>
  <si>
    <t>Guinea (Republic of)</t>
  </si>
  <si>
    <t>Guinea-Bissau</t>
  </si>
  <si>
    <t>Guyana</t>
  </si>
  <si>
    <t>Haiti</t>
  </si>
  <si>
    <t>Honduras</t>
  </si>
  <si>
    <t>India</t>
  </si>
  <si>
    <t>Indonesia</t>
  </si>
  <si>
    <t>Iran</t>
  </si>
  <si>
    <t>Iraq</t>
  </si>
  <si>
    <t>Ivory Coast</t>
  </si>
  <si>
    <t>Jamaica</t>
  </si>
  <si>
    <t>Jordan</t>
  </si>
  <si>
    <t>Kazakhstan</t>
  </si>
  <si>
    <t>Kenya</t>
  </si>
  <si>
    <t>Kiribati</t>
  </si>
  <si>
    <t>Korea (DPR)</t>
  </si>
  <si>
    <t>Kosovo</t>
  </si>
  <si>
    <t>Kyrgyzstan</t>
  </si>
  <si>
    <t>Laos</t>
  </si>
  <si>
    <t>Lebanon</t>
  </si>
  <si>
    <t>Lesotho</t>
  </si>
  <si>
    <t>Liberia</t>
  </si>
  <si>
    <t>Libya</t>
  </si>
  <si>
    <t>Madagascar</t>
  </si>
  <si>
    <t>Malawi</t>
  </si>
  <si>
    <t>Malaysia</t>
  </si>
  <si>
    <t>Maldives</t>
  </si>
  <si>
    <t>Mali</t>
  </si>
  <si>
    <t>Marshall Islands</t>
  </si>
  <si>
    <t>Mauritania</t>
  </si>
  <si>
    <t>Mauritius</t>
  </si>
  <si>
    <t>Mexico</t>
  </si>
  <si>
    <t>Micronesia</t>
  </si>
  <si>
    <t>Moldova</t>
  </si>
  <si>
    <t>Mongolia</t>
  </si>
  <si>
    <t>Montenegro</t>
  </si>
  <si>
    <t>Morocco</t>
  </si>
  <si>
    <t>Mozambique</t>
  </si>
  <si>
    <t>Myanmar</t>
  </si>
  <si>
    <t>Namibia</t>
  </si>
  <si>
    <t>Nauru</t>
  </si>
  <si>
    <t>Nepal</t>
  </si>
  <si>
    <t>Nicaragua</t>
  </si>
  <si>
    <t>Niger</t>
  </si>
  <si>
    <t>Nigeria</t>
  </si>
  <si>
    <t>Niue</t>
  </si>
  <si>
    <t>Pakistan</t>
  </si>
  <si>
    <t>Palau</t>
  </si>
  <si>
    <t>Palestine</t>
  </si>
  <si>
    <t>Panama</t>
  </si>
  <si>
    <t>Papua New Guinea</t>
  </si>
  <si>
    <t>Paraguay</t>
  </si>
  <si>
    <t>Peru</t>
  </si>
  <si>
    <t>Philippines</t>
  </si>
  <si>
    <t>Russian Federation</t>
  </si>
  <si>
    <t>Rwanda</t>
  </si>
  <si>
    <t>Samoa</t>
  </si>
  <si>
    <t>Sao Tome and Principe</t>
  </si>
  <si>
    <t>Senegal</t>
  </si>
  <si>
    <t>Serbia</t>
  </si>
  <si>
    <t>Seychelles</t>
  </si>
  <si>
    <t>Sierra Leone</t>
  </si>
  <si>
    <t>Solomon Islands</t>
  </si>
  <si>
    <t>Somalia</t>
  </si>
  <si>
    <t>South Africa</t>
  </si>
  <si>
    <t>Sri Lanka</t>
  </si>
  <si>
    <t>St. Lucia</t>
  </si>
  <si>
    <t>St. Vincent and the Grenadines</t>
  </si>
  <si>
    <t>St. Kitts and Nevis</t>
  </si>
  <si>
    <t>Sudan</t>
  </si>
  <si>
    <t>Suriname</t>
  </si>
  <si>
    <t>Swaziland</t>
  </si>
  <si>
    <t>Syria</t>
  </si>
  <si>
    <t>Tajikistan</t>
  </si>
  <si>
    <t>Tanzania</t>
  </si>
  <si>
    <t>Thailand</t>
  </si>
  <si>
    <t>Togo</t>
  </si>
  <si>
    <t>Tonga</t>
  </si>
  <si>
    <t>Trinidad and Tobago</t>
  </si>
  <si>
    <t>Tunisia</t>
  </si>
  <si>
    <t>Turkmenistan</t>
  </si>
  <si>
    <t>Tuvalu</t>
  </si>
  <si>
    <t>Uganda</t>
  </si>
  <si>
    <t>Ukraine</t>
  </si>
  <si>
    <t>Uruguay</t>
  </si>
  <si>
    <t>Uzbekistan</t>
  </si>
  <si>
    <t>Vanuatu</t>
  </si>
  <si>
    <t>Venezuela</t>
  </si>
  <si>
    <t>Vietnam</t>
  </si>
  <si>
    <t>Yemen</t>
  </si>
  <si>
    <t>Zambia</t>
  </si>
  <si>
    <t>Zimbabwe</t>
  </si>
  <si>
    <t>Grant per Local Participants:</t>
  </si>
  <si>
    <t>Grant per Foreign Participants:</t>
  </si>
  <si>
    <t>Grant  requested (75%)</t>
  </si>
  <si>
    <t>Long-term teaching or training assignments (in euro per day)</t>
  </si>
  <si>
    <t>between 5 day and 14th day of activity:
per day per participant</t>
  </si>
  <si>
    <t>Linguistic support - csak tanulóknak B.1.8</t>
  </si>
  <si>
    <t>Long-term teaching, training ... - Travel grant</t>
  </si>
  <si>
    <t>Total grant requested:</t>
  </si>
  <si>
    <t>Total working days:</t>
  </si>
  <si>
    <t>Grant total - staff:</t>
  </si>
  <si>
    <t>Total management grant:</t>
  </si>
  <si>
    <t>Grant  requested</t>
  </si>
  <si>
    <t>TOTALS:</t>
  </si>
  <si>
    <t>Total of participants:</t>
  </si>
  <si>
    <t>Meeting Nr.</t>
  </si>
  <si>
    <t>Activity Nr.</t>
  </si>
  <si>
    <t>Coordinating organisation</t>
  </si>
  <si>
    <t>Totals:</t>
  </si>
  <si>
    <t>Short term activities for learners</t>
  </si>
  <si>
    <t>Linguistic Support</t>
  </si>
  <si>
    <t>Requested</t>
  </si>
  <si>
    <t>Subsistence Grant</t>
  </si>
  <si>
    <t>/participants</t>
  </si>
  <si>
    <t>Általános szabály</t>
  </si>
  <si>
    <t>A kategóriák és limitek csak ezen pályázattípusban benyújtott tervezeteknél érvényesek.</t>
  </si>
  <si>
    <t>Ha bármelyik munkalapon hiba maradt, akkor a tétel összesítésénél is hibaüzenet jelenik meg. A hibát a megfelelő munkalapon kell javítani!</t>
  </si>
  <si>
    <t>http://ec.europa.eu/programmes/erasmus-plus/tools/distance_en.htm</t>
  </si>
  <si>
    <t xml:space="preserve">A 'Partner meetings' és a 'Transnational training, teaching' munkalapokon a távolsági sávok meghatározására használja a távolság-kalkulátort: </t>
  </si>
  <si>
    <t xml:space="preserve">A támogatási igény bevitelét a 'Management' lap kitöltésével kell kezdeni. </t>
  </si>
  <si>
    <t>A piros szegélyű cellákat kell kitölteni: szöveg, szám vagy dátum.</t>
  </si>
  <si>
    <t>Ha valamely tétel miatt a  támogatási igény meghaladná a limitet, akkor a táblázat hibát jelez.</t>
  </si>
  <si>
    <t xml:space="preserve">Az utolsó munkalapon ('Total grant requested') a támogatási igény összesítése látható, partnerenként és költségtételenként. </t>
  </si>
  <si>
    <t>Name of the project:</t>
  </si>
  <si>
    <t>[please complete the name of the project as in the application form]</t>
  </si>
  <si>
    <t>PROJECT TIMETABLE</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</si>
  <si>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</si>
  <si>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</si>
  <si>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</si>
  <si>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</si>
  <si>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</si>
  <si>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</si>
  <si>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</si>
  <si>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</si>
  <si>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</si>
  <si>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</si>
  <si>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</si>
  <si>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</si>
  <si>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</si>
  <si>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</si>
  <si>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</si>
  <si>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</si>
  <si>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</si>
  <si>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</si>
  <si>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</si>
  <si>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</si>
  <si>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</si>
  <si>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</si>
  <si>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</si>
  <si>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</si>
  <si>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</si>
  <si>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</si>
  <si>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</si>
  <si>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</si>
  <si>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</si>
  <si>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</si>
  <si>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</si>
  <si>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</si>
  <si>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</si>
  <si>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</si>
  <si>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</si>
  <si>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</si>
  <si>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Project activity*</t>
  </si>
  <si>
    <t>Please insert rows as needed</t>
  </si>
  <si>
    <t>*Project activity types:</t>
  </si>
  <si>
    <r>
      <t>A</t>
    </r>
    <r>
      <rPr>
        <i/>
        <sz val="11"/>
        <color indexed="8"/>
        <rFont val="Calibri"/>
        <family val="2"/>
      </rPr>
      <t>n</t>
    </r>
  </si>
  <si>
    <t>- PROJECT MANAGEMENT AND IMPLEMENTATION ACTIVITIES</t>
  </si>
  <si>
    <r>
      <t>O</t>
    </r>
    <r>
      <rPr>
        <i/>
        <sz val="11"/>
        <color indexed="8"/>
        <rFont val="Calibri"/>
        <family val="2"/>
      </rPr>
      <t>n</t>
    </r>
    <r>
      <rPr>
        <sz val="10"/>
        <rFont val="Arial"/>
        <family val="2"/>
        <charset val="238"/>
      </rPr>
      <t>/A</t>
    </r>
    <r>
      <rPr>
        <i/>
        <sz val="11"/>
        <color indexed="8"/>
        <rFont val="Calibri"/>
        <family val="2"/>
      </rPr>
      <t>n</t>
    </r>
  </si>
  <si>
    <t>- INTELLECTUAL OUTPUTS/ACTIVITIES</t>
  </si>
  <si>
    <r>
      <t>M</t>
    </r>
    <r>
      <rPr>
        <i/>
        <sz val="11"/>
        <color indexed="8"/>
        <rFont val="Calibri"/>
        <family val="2"/>
      </rPr>
      <t>n</t>
    </r>
  </si>
  <si>
    <t>- TRANSNATIONAL PROJECT MEETINGS</t>
  </si>
  <si>
    <r>
      <t>E</t>
    </r>
    <r>
      <rPr>
        <i/>
        <sz val="11"/>
        <color indexed="8"/>
        <rFont val="Calibri"/>
        <family val="2"/>
      </rPr>
      <t>n</t>
    </r>
  </si>
  <si>
    <t>- MULTIPLIER EVENTS</t>
  </si>
  <si>
    <r>
      <t>C</t>
    </r>
    <r>
      <rPr>
        <i/>
        <sz val="11"/>
        <color indexed="8"/>
        <rFont val="Calibri"/>
        <family val="2"/>
      </rPr>
      <t>n</t>
    </r>
  </si>
  <si>
    <t>- LEARNING/TEACHING/TRAINING ACTIVITIES</t>
  </si>
  <si>
    <t>n</t>
  </si>
  <si>
    <t>- number of the activity</t>
  </si>
  <si>
    <t>Please enter all main project activities and meetings, intellectual outputs and related activities, multiplier events and training/teaching/learning activities. Use the reference numbers as they appear in the application form. Where no numbers exist in the application form (i.e. for activities included in project management and implementation), use reference numbers A1, A2 etc. For each activity, meeting or event, indicate the month(s) in which they will be produced/take place by colouring the corresponding cells.</t>
  </si>
  <si>
    <t>Az 'Overview' lap:</t>
  </si>
  <si>
    <t>2.</t>
  </si>
  <si>
    <t>M1; M2 stb.: nemzetközi partnertalálkozók</t>
  </si>
  <si>
    <t>C1, C2 stb.: nemzetközi oktatási/tanulási tevékenység</t>
  </si>
  <si>
    <t>5.</t>
  </si>
  <si>
    <t>7.</t>
  </si>
  <si>
    <t>A B oszlopban a tevékenységeket kell felsorolni: a finanszírozási csomagok szerint azonosítható módon, sorszámmal ellátva az egyes tevékenységeket. A D-AA ill.D-AM oszlopokban pedig (a futamidő hosszától függően) színezéssel jelöljük a megvalósítás tervezett hónapját.</t>
  </si>
  <si>
    <t>Nr. of accompany-ing persons</t>
  </si>
  <si>
    <t>Nr. of participants</t>
  </si>
  <si>
    <t>/accompany-ing persons</t>
  </si>
  <si>
    <t>The meeting takes place in</t>
  </si>
  <si>
    <t>A dátum formátuma: éééé.hh(.nn): évet, hónapot (napot) kell beírni.</t>
  </si>
  <si>
    <t>A munkalapok minden kategóriában a bevitt adatok alapján, a pénzügyi szabályoknak megfelelően számolják a támogatási igényt.</t>
  </si>
  <si>
    <r>
      <rPr>
        <b/>
        <sz val="10"/>
        <rFont val="Avenir Light"/>
      </rPr>
      <t>8</t>
    </r>
    <r>
      <rPr>
        <sz val="11"/>
        <color indexed="8"/>
        <rFont val="Calibri"/>
        <family val="2"/>
        <charset val="238"/>
      </rPr>
      <t>.</t>
    </r>
  </si>
  <si>
    <t>Estimated date (year and month)</t>
  </si>
  <si>
    <t>Nr. and description of intellectual output</t>
  </si>
  <si>
    <t>Az egyes munkalapok kitöltése:</t>
  </si>
  <si>
    <t>Transnational training, teaching and learning activities - GRANT REQUESTED</t>
  </si>
  <si>
    <t>months</t>
  </si>
  <si>
    <t>Duration (months)</t>
  </si>
  <si>
    <t>Project title/acronym</t>
  </si>
  <si>
    <t>Start of project</t>
  </si>
  <si>
    <t>End of project</t>
  </si>
  <si>
    <t xml:space="preserve">A világos sárga cellákban lenyíló listákat találunk, ezeket is ki kell tölteni. </t>
  </si>
  <si>
    <t>A barack színű cellák nem szerkeszthetők, képlet számolja az értéket (védett).</t>
  </si>
  <si>
    <r>
      <rPr>
        <sz val="10"/>
        <rFont val="Avenir Light"/>
      </rPr>
      <t xml:space="preserve">A megadott adatok alapján megjelenik a projekt záró dátuma. </t>
    </r>
    <r>
      <rPr>
        <b/>
        <i/>
        <sz val="10"/>
        <rFont val="Avenir Light"/>
      </rPr>
      <t>A következő lapokon ügyeljünk, hogy csak ezen időkereten belüli dátumokat használjunk!</t>
    </r>
  </si>
  <si>
    <t>A projekt futamideje alapján kiszámolja az adható támogatás felső határát.</t>
  </si>
  <si>
    <t>In case of joint staff training: participants should involve at least two partners from different countries! </t>
  </si>
  <si>
    <t>575 EUR per participant per meeting</t>
  </si>
  <si>
    <t>760 EUR per participant per meeting</t>
  </si>
  <si>
    <t>Ezen a munkalapon kell feltünteni a projekt címét, a projekt tervezett futamidejét és kezdő dátumát (az Excel számára értelmezhető dátumként).</t>
  </si>
  <si>
    <t>Duration for participants</t>
  </si>
  <si>
    <t>Duration for accompany-ing persons</t>
  </si>
  <si>
    <t>Short-term joint staff training events</t>
  </si>
  <si>
    <t>kisérő</t>
  </si>
  <si>
    <t>B1.8</t>
  </si>
  <si>
    <t>Short-term exchanges of groups</t>
  </si>
  <si>
    <t>Long-term mobility of youth workers</t>
  </si>
  <si>
    <t>AE</t>
  </si>
  <si>
    <t>HE</t>
  </si>
  <si>
    <t>VET</t>
  </si>
  <si>
    <t>Youth</t>
  </si>
  <si>
    <t>B1.5-7</t>
  </si>
  <si>
    <t>Short-term blended mobility of school learners</t>
  </si>
  <si>
    <t>Long-term activities of pupils alapképzés, iskolai szakképzés</t>
  </si>
  <si>
    <t>Short-term intensive programmes for higher education learners</t>
  </si>
  <si>
    <t>Short-term intensive programmes for teaching staff</t>
  </si>
  <si>
    <t>Short-term invited teachers at higher education Intensive Study Programmes</t>
  </si>
  <si>
    <r>
      <rPr>
        <b/>
        <sz val="12"/>
        <rFont val="Arial Narrow"/>
        <family val="2"/>
      </rPr>
      <t>Long-term teaching</t>
    </r>
    <r>
      <rPr>
        <sz val="12"/>
        <rFont val="Arial Narrow"/>
        <family val="2"/>
      </rPr>
      <t xml:space="preserve"> or training assignments</t>
    </r>
  </si>
  <si>
    <t>Short-term activities for learners</t>
  </si>
  <si>
    <t>Rates</t>
  </si>
  <si>
    <t>Kizárólag szektorközi tervezet esetén kitöltendő!</t>
  </si>
  <si>
    <t>MONTHS:</t>
  </si>
  <si>
    <t>2. Researcher, teacher and/or trainer, youth worker</t>
  </si>
  <si>
    <r>
      <t xml:space="preserve">A fájl munkalapjainak színe az egyes pályázattípusokban tervezhető támogatási tételek szerint változik. 
</t>
    </r>
    <r>
      <rPr>
        <b/>
        <sz val="10"/>
        <color rgb="FF00B050"/>
        <rFont val="Avenir Light"/>
      </rPr>
      <t>A zölddel jelölt munkalapokon</t>
    </r>
    <r>
      <rPr>
        <sz val="10"/>
        <rFont val="Avenir Light"/>
      </rPr>
      <t xml:space="preserve"> minden stratégiai partnerségi projektek által egyaránt igényelhető támogatást lehet számolni (a pénzügy szabályok feltételei szerint): 
- mind a bevált gyakorlatok cseréjét, mind az innovációt támogató stratégiai partnerségekben: </t>
    </r>
    <r>
      <rPr>
        <b/>
        <sz val="10"/>
        <color rgb="FF00B050"/>
        <rFont val="Avenir Light"/>
      </rPr>
      <t>Management, Partner meetings</t>
    </r>
    <r>
      <rPr>
        <sz val="10"/>
        <rFont val="Avenir Light"/>
      </rPr>
      <t xml:space="preserve">; 
- különleges/indokolt esetben: </t>
    </r>
    <r>
      <rPr>
        <sz val="10"/>
        <color rgb="FF00B050"/>
        <rFont val="Avenir Light"/>
      </rPr>
      <t>Exceptional costs, Special needs</t>
    </r>
    <r>
      <rPr>
        <sz val="10"/>
        <rFont val="Avenir Light"/>
      </rPr>
      <t xml:space="preserve">; 
- illetve ha nemzetközi mobilitást terveznek akkor zöld füllel szerepel </t>
    </r>
    <r>
      <rPr>
        <sz val="10"/>
        <color rgb="FF00B050"/>
        <rFont val="Avenir Light"/>
      </rPr>
      <t>a szektornak megfelelő Transnational trainings, teachings ...</t>
    </r>
    <r>
      <rPr>
        <sz val="10"/>
        <rFont val="Avenir Light"/>
      </rPr>
      <t xml:space="preserve"> lap.
</t>
    </r>
    <r>
      <rPr>
        <b/>
        <sz val="10"/>
        <color rgb="FFFF0000"/>
        <rFont val="Avenir Light"/>
      </rPr>
      <t>A pirossal jelölt lapfüleken</t>
    </r>
    <r>
      <rPr>
        <sz val="10"/>
        <rFont val="Avenir Light"/>
      </rPr>
      <t xml:space="preserve"> olyan kategóriák szerepelnek, melyek feltételek teljesülése esetén igényelhetők:
- </t>
    </r>
    <r>
      <rPr>
        <b/>
        <sz val="10"/>
        <color rgb="FFFF0000"/>
        <rFont val="Avenir Light"/>
      </rPr>
      <t xml:space="preserve">kizárólag innovációt támogató </t>
    </r>
    <r>
      <rPr>
        <sz val="10"/>
        <rFont val="Avenir Light"/>
      </rPr>
      <t xml:space="preserve">stragétiai partnerségekben használható lapok: </t>
    </r>
    <r>
      <rPr>
        <b/>
        <sz val="10"/>
        <color rgb="FFFF0000"/>
        <rFont val="Avenir Light"/>
      </rPr>
      <t>Intellectual outputs; Multiplier events</t>
    </r>
    <r>
      <rPr>
        <sz val="10"/>
        <rFont val="Avenir Light"/>
      </rPr>
      <t xml:space="preserve">
- </t>
    </r>
    <r>
      <rPr>
        <b/>
        <sz val="10"/>
        <color rgb="FFFF0000"/>
        <rFont val="Avenir Light"/>
      </rPr>
      <t>kizárólag szektorközi pályázatok esetén</t>
    </r>
    <r>
      <rPr>
        <sz val="10"/>
        <rFont val="Avenir Light"/>
      </rPr>
      <t xml:space="preserve"> használható </t>
    </r>
    <r>
      <rPr>
        <b/>
        <sz val="10"/>
        <color rgb="FFFF0000"/>
        <rFont val="Avenir Light"/>
      </rPr>
      <t>a másodlagos szektor résztvevőinek nemzetközi mobilitásához</t>
    </r>
    <r>
      <rPr>
        <sz val="10"/>
        <rFont val="Avenir Light"/>
      </rPr>
      <t xml:space="preserve"> a pirossal jelölt </t>
    </r>
    <r>
      <rPr>
        <b/>
        <sz val="10"/>
        <color rgb="FFFF0000"/>
        <rFont val="Avenir Light"/>
      </rPr>
      <t>Transnational training. teachings ... lapok, melyekből AZ ÉRINTETT SZEKTOR rövidítésével kezdődő munkalap</t>
    </r>
    <r>
      <rPr>
        <sz val="10"/>
        <rFont val="Avenir Light"/>
      </rPr>
      <t>ot válasszák! A szektorokban eltérő mobilitási szabályok szerint csak így tudnak helyesen számolni!</t>
    </r>
  </si>
  <si>
    <t>Ahol egy sorban több piros szegélyű cellát találunk, ott mindegyiket ki kell tölteni: addig nem látszik a támogatási igény, amíg ez nincs meg.</t>
  </si>
  <si>
    <t xml:space="preserve">1.  </t>
  </si>
  <si>
    <r>
      <t xml:space="preserve">A </t>
    </r>
    <r>
      <rPr>
        <b/>
        <sz val="10"/>
        <rFont val="Avenir Light"/>
      </rPr>
      <t>'</t>
    </r>
    <r>
      <rPr>
        <b/>
        <i/>
        <sz val="10"/>
        <color indexed="10"/>
        <rFont val="Avenir Light"/>
      </rPr>
      <t>KA2_SP_TIMELINE_TEMPLATE</t>
    </r>
    <r>
      <rPr>
        <b/>
        <sz val="10"/>
        <rFont val="Avenir Light"/>
      </rPr>
      <t>'</t>
    </r>
    <r>
      <rPr>
        <b/>
        <sz val="10"/>
        <rFont val="Avenir Light"/>
      </rPr>
      <t xml:space="preserve">: </t>
    </r>
  </si>
  <si>
    <r>
      <t xml:space="preserve">Azonos az Európai Bizottság által kidolgozott, áttekintő táblázattal a tervezett tevékenységekről </t>
    </r>
    <r>
      <rPr>
        <sz val="10"/>
        <rFont val="Avenir Light"/>
      </rPr>
      <t>(http://ec.europa.eu/programmes/erasmus-plus/documents/gantt-chart-template_en.xls)</t>
    </r>
    <r>
      <rPr>
        <b/>
        <sz val="10"/>
        <rFont val="Avenir Light"/>
      </rPr>
      <t>. A pályázat kötelező mellékletével azonos forma és tartalom.</t>
    </r>
  </si>
  <si>
    <t>Mivel ezek nem jelennek meg tételes felsorolásban a pályázati űrlapban, ezért itt kell lebontani, és szövegesen is megnevezni a tervezett menedzsment-tevékenységeket: sorszámmal ellátva felsorolni, és színezéssel jelölni, mely hónapra ütemezik.</t>
  </si>
  <si>
    <t>O1/A1, O1/A2 stb.: csak innovációt támogató projektek esetén: a tervezett szellemi terméket, és az egyes szellemit termékek kidolgozásához szükséges tevékenységeket jelölik amelyekre támogatást igényelnek</t>
  </si>
  <si>
    <t>E1, E2 stb.: multiplikációs rendezvények (csak innovációt támogató projektek esetén)</t>
  </si>
  <si>
    <t xml:space="preserve">3. </t>
  </si>
  <si>
    <t>4.</t>
  </si>
  <si>
    <t>6.</t>
  </si>
  <si>
    <r>
      <rPr>
        <b/>
        <sz val="10"/>
        <rFont val="Avenir Light"/>
      </rPr>
      <t>A 'Partner meetings' lapon a találkozó helyét a házigazda partner kiválasztásával adjuk meg.</t>
    </r>
    <r>
      <rPr>
        <sz val="10"/>
        <rFont val="Avenir Light"/>
      </rPr>
      <t xml:space="preserve"> Ügyeljünk arra, hogy azonos sorszámú találkozó esetén azonos célhely legyen megadva, hogy a táblázat ne legyen ellentmondásos.</t>
    </r>
  </si>
  <si>
    <r>
      <rPr>
        <b/>
        <sz val="10"/>
        <rFont val="Avenir Light"/>
      </rPr>
      <t>A 'VET Transnational training, teaching' lap:</t>
    </r>
    <r>
      <rPr>
        <sz val="10"/>
        <rFont val="Avenir Light"/>
      </rPr>
      <t xml:space="preserve">
A hosszútávú tevékenységek időkerete: 2-12 hónap, a rövidtávú tevékenységek időtartama max. 60 nap lehet.
'Long-term teaching or training' tevékenységtípus esetén nyelvi támogatás is elszámolható indokolt esetben, így ennél a tevékenységtípusnál az ezt igénylők számát is megadhatjuk.
Ha a partnerség tagjai között van E+ partnerországban honos szervezet, akkor csakis "Joint staff training" tevékenységhez kapcsolódóan igényelhet támogatást.
A 'Blended mobility of VET learners' tevékenységtípus esetén kísérők költsége is elszámolható, így ennél a tevékenységtípusnál a kísérők számát is megadhatjuk.</t>
    </r>
  </si>
  <si>
    <t>Ha szektorközi pályázatot terveznek, és a másodlagos szerktorban is terveznek nemzetközi mobilitást, akkor válasszák ki a szektornak megfelelő munkalapot és a hasonlóan töltsék ki.</t>
  </si>
  <si>
    <t>SE Transnational training, teaching: közoktatási szektorban
AE Transnational training, teaching: felnőttanulási szektorban
HE Transnational training, teaching: felsőoktatási szektorban
Youth Transnational training, teaching: ifjúsági szektorban</t>
  </si>
  <si>
    <t>Other</t>
  </si>
  <si>
    <r>
      <t xml:space="preserve">up to the 14th day of activity: B1.5 </t>
    </r>
    <r>
      <rPr>
        <b/>
        <sz val="10"/>
        <color indexed="10"/>
        <rFont val="Arial Narrow"/>
        <family val="2"/>
      </rPr>
      <t xml:space="preserve">per day per participant </t>
    </r>
  </si>
  <si>
    <r>
      <t xml:space="preserve">between the 15th and 60 th day of activity: B1.6
</t>
    </r>
    <r>
      <rPr>
        <b/>
        <sz val="10"/>
        <color indexed="10"/>
        <rFont val="Arial Narrow"/>
        <family val="2"/>
      </rPr>
      <t>per day per participant</t>
    </r>
    <r>
      <rPr>
        <sz val="10"/>
        <rFont val="Arial Narrow"/>
        <family val="2"/>
      </rPr>
      <t xml:space="preserve">
</t>
    </r>
  </si>
  <si>
    <r>
      <t xml:space="preserve">between the 61th day of activity and up to 12 months: B1.7 </t>
    </r>
    <r>
      <rPr>
        <b/>
        <sz val="10"/>
        <color indexed="10"/>
        <rFont val="Arial Narrow"/>
        <family val="2"/>
      </rPr>
      <t>per day per participant</t>
    </r>
  </si>
  <si>
    <r>
      <t xml:space="preserve">B1.8 </t>
    </r>
    <r>
      <rPr>
        <b/>
        <sz val="10"/>
        <color indexed="10"/>
        <rFont val="Arial Narrow"/>
        <family val="2"/>
      </rPr>
      <t>per month per participant</t>
    </r>
  </si>
  <si>
    <r>
      <rPr>
        <b/>
        <sz val="12"/>
        <rFont val="Arial Narrow"/>
        <family val="2"/>
      </rPr>
      <t>Short-term blended</t>
    </r>
    <r>
      <rPr>
        <sz val="12"/>
        <rFont val="Arial Narrow"/>
        <family val="2"/>
      </rPr>
      <t xml:space="preserve"> mobility of VET learners</t>
    </r>
  </si>
  <si>
    <r>
      <rPr>
        <b/>
        <sz val="12"/>
        <rFont val="Arial Narrow"/>
        <family val="2"/>
      </rPr>
      <t>Short-term joint staff</t>
    </r>
    <r>
      <rPr>
        <sz val="12"/>
        <rFont val="Arial Narrow"/>
        <family val="2"/>
      </rPr>
      <t xml:space="preserve"> training events</t>
    </r>
  </si>
  <si>
    <r>
      <rPr>
        <b/>
        <sz val="12"/>
        <rFont val="Arial Narrow"/>
        <family val="2"/>
      </rPr>
      <t>Long-term study</t>
    </r>
    <r>
      <rPr>
        <sz val="12"/>
        <rFont val="Arial Narrow"/>
        <family val="2"/>
      </rPr>
      <t xml:space="preserve"> mobility of pupils</t>
    </r>
  </si>
  <si>
    <r>
      <rPr>
        <b/>
        <sz val="12"/>
        <rFont val="Arial Narrow"/>
        <family val="2"/>
      </rPr>
      <t>Short-term blended</t>
    </r>
    <r>
      <rPr>
        <sz val="12"/>
        <rFont val="Arial Narrow"/>
        <family val="2"/>
      </rPr>
      <t xml:space="preserve"> mobility of young people</t>
    </r>
  </si>
  <si>
    <r>
      <rPr>
        <b/>
        <sz val="12"/>
        <rFont val="Arial Narrow"/>
        <family val="2"/>
      </rPr>
      <t>Short-term blended</t>
    </r>
    <r>
      <rPr>
        <sz val="12"/>
        <rFont val="Arial Narrow"/>
        <family val="2"/>
      </rPr>
      <t xml:space="preserve"> mobility of adult learners</t>
    </r>
  </si>
  <si>
    <r>
      <rPr>
        <b/>
        <sz val="12"/>
        <rFont val="Arial Narrow"/>
        <family val="2"/>
      </rPr>
      <t>Short-term blended</t>
    </r>
    <r>
      <rPr>
        <sz val="12"/>
        <rFont val="Arial Narrow"/>
        <family val="2"/>
      </rPr>
      <t xml:space="preserve"> mobility of higher education students</t>
    </r>
  </si>
  <si>
    <t>10–99 km</t>
  </si>
  <si>
    <t>100-499 km</t>
  </si>
  <si>
    <t>500-1999 km</t>
  </si>
  <si>
    <t>2000-2999</t>
  </si>
  <si>
    <t>3000-3999 km</t>
  </si>
  <si>
    <t>4000-7999 km</t>
  </si>
  <si>
    <t>more than 8000 km</t>
  </si>
  <si>
    <t>Partner Name</t>
  </si>
  <si>
    <t>Switzerland</t>
  </si>
  <si>
    <t>Total number of participants:</t>
  </si>
  <si>
    <t>Country of venue</t>
  </si>
  <si>
    <t>Nr. of Top-ups</t>
  </si>
  <si>
    <t>Top-up</t>
  </si>
  <si>
    <t>Top-up for expensive domestic travel (return trip costs exceeding 225 EUR) should be duily justified!</t>
  </si>
  <si>
    <t>Szakképzés</t>
  </si>
  <si>
    <t>Felsőoktatás</t>
  </si>
  <si>
    <t>Felnőtt tanulás</t>
  </si>
  <si>
    <t>Köznevelés</t>
  </si>
  <si>
    <t>Ifjúság</t>
  </si>
  <si>
    <t>Tapasztalatcsere projektek esetén csak megfelelő indoklással igényelhető. A támogatási arány: 75%! 
Max. 50 000 EUR per projekt</t>
  </si>
  <si>
    <t>Representatives of participating organisations are NOT included in the Nr of participants!
Max. 30 000 EUR per projekt</t>
  </si>
  <si>
    <r>
      <t xml:space="preserve">Ez az Excel fájl az </t>
    </r>
    <r>
      <rPr>
        <b/>
        <shadow/>
        <u/>
        <sz val="12"/>
        <color indexed="10"/>
        <rFont val="Avenir Light"/>
      </rPr>
      <t>Eramus+ szakképzési stratégiai partnerségek (KA2 - VET)</t>
    </r>
    <r>
      <rPr>
        <b/>
        <sz val="12"/>
        <color indexed="10"/>
        <rFont val="Avenir Light"/>
      </rPr>
      <t xml:space="preserve"> 2017. évi pénzügyi szabályai alapján számolja a támogatási igényt, olyan felosztásban, amilyenben a pénzügyi részt a  pályázati űrlapban is ki kell tölteni. </t>
    </r>
  </si>
  <si>
    <t>Figyelmeztető üzenetet kapunk, ha kitöltés után a tervezett támogatási igény túllépné a limitet, vagy nem tartjuk be a 2017.09.01-2020.08.31. keretidőt.</t>
  </si>
  <si>
    <t>A munkalap szerkeszthető, lehetőség van oszlopok és sorok beszúrására igény szerint, a munkaterv pontos lebontásához</t>
  </si>
  <si>
    <t xml:space="preserve">A projekt menedzsment tevékenységeinek javasolt jele: A1, A2 stb. </t>
  </si>
  <si>
    <t xml:space="preserve">A következő, javasolt  rövidítések a finanszírozási csomagokra utalnak: </t>
  </si>
  <si>
    <t>A menedzsmentre igényelhető támogatást az űrlap számolja, 10-nél több partner után a limit miatt nem igényelhető támogatás ebben a kategóriában.</t>
  </si>
  <si>
    <t>A további munkalapokon azokat a partnereket kell kiválasztani az A oszlopban, akiknek részéről támogatási igény felmerül.</t>
  </si>
  <si>
    <t>Újdonságok / különleges szabályok a 2017. évi útmutatóban:</t>
  </si>
  <si>
    <t>I.</t>
  </si>
  <si>
    <t>A tevékenységek helyszíne és kapcsolódó utazási támogatás:</t>
  </si>
  <si>
    <t>I.a</t>
  </si>
  <si>
    <t>A tevékenységek helyszíne:</t>
  </si>
  <si>
    <t>I.b</t>
  </si>
  <si>
    <t>Különleges támogatás a nagyösszegű helyi közlekedéshez:</t>
  </si>
  <si>
    <r>
      <t>A '</t>
    </r>
    <r>
      <rPr>
        <b/>
        <i/>
        <sz val="10"/>
        <rFont val="Avenir Light"/>
      </rPr>
      <t>Transnational training, teaching and learning</t>
    </r>
    <r>
      <rPr>
        <sz val="10"/>
        <rFont val="Avenir Light"/>
      </rPr>
      <t>' lapon (mind a négy szektorban) a nemzetközi tanulási, képzési és oktatási tevékenységhez kapcsolódó utazások esetén igényelhető különleges támogatás nagyösszegű belföldi utazásokhoz (225 Euro-t meghaladó oda-vissza út esetén 180 Euro). Ennek összegét az utazók adatainak megadása (M oszlop) után a igényelhető utazási támogatás automatikusan hozzáadja az egyéb utazási tételekhez (N oszlop).</t>
    </r>
  </si>
  <si>
    <t>II.</t>
  </si>
  <si>
    <t>Résztvevői létszámok:</t>
  </si>
  <si>
    <t>A bevált gyakorlatok cseréjét támogató stratégiai partnerség esetében: projektenként maximum 100 tanulási, tanítási vagy képzési tevékenységekben részt vevő személy támogatható (beleértve a kísérőket is). </t>
  </si>
  <si>
    <r>
      <t>Az ellenőrzés megjelenése:
A '</t>
    </r>
    <r>
      <rPr>
        <b/>
        <i/>
        <sz val="10"/>
        <rFont val="Avenir Light"/>
      </rPr>
      <t>Transnational training ...</t>
    </r>
    <r>
      <rPr>
        <sz val="10"/>
        <rFont val="Avenir Light"/>
      </rPr>
      <t>' fülön /füleken (szektorközi pályázatok esetén lehetséges!) az összesítő tábla 'Total grant requested' lapon jelenik meg az összesítő táblázat alján a tejles létszám (esetleges kísérőkkel együtt) és jelez hibát túllépés esetén.</t>
    </r>
  </si>
  <si>
    <t>A tevékenységek számozásának összhangban kell lenni a pályázati űrlap végleges számozásaival, ezért javasoljuk, hogy a projekttevezést és ütemezést a pályázati űrlap kategóriái szerint végezzék, és csak a végleges terv,  tevékenység-lebontás alapján töltsék ki mind a tevékenységek áttekintő táblázatát (KA2_SP_TIMELINE_TEMPLATE lap), mind a pályázati űrlapot.
A kódolás helyett a tevékenységek valós megnevezését is használhatják, csak ügyeljenek arra, hogy a pályázati űrlapban alkalmazott megnezevésekkel - kódokkal összehagnolhatók, azonosíthatók legyenek.</t>
  </si>
  <si>
    <t>A partnerek adatait abban a sorrendben vigyék be, ahogy pályázati űrlapban kívánják megadni: az A oszlop partnerek nevét(!) kéri, a B oszlop a partner székhelye szerinti országot jelenti. 
    A szervezet nevét beírni kell, az oszágot kiválasztani a lenyíló listából.</t>
  </si>
  <si>
    <r>
      <t xml:space="preserve">"A stratégiai partnerség összes tevékenységét a projektben részt vevő szervezetek/intézmények országaiban kell megvalósítani. Az ettől eltérő, különleges esetekre csak kellő indoklás esetén ítélhető meg támogatás!
</t>
    </r>
    <r>
      <rPr>
        <b/>
        <i/>
        <sz val="10"/>
        <color theme="9" tint="-0.249977111117893"/>
        <rFont val="Avenir Light"/>
      </rPr>
      <t>A tevékenységek az Európai Unió egy intézményének székhelyén is megvalósulhatnak, akkor is, ha a projektben nincs részt vevő szervezet abból az országból, ahol a székhely találhatható. (Az Európai Unió intézményeinek székhelyei: Brüsszel, Frankfurt, Luxembourg, Strasbourg és Hága.)</t>
    </r>
    <r>
      <rPr>
        <b/>
        <i/>
        <sz val="10"/>
        <rFont val="Avenir Light"/>
      </rPr>
      <t>"</t>
    </r>
  </si>
  <si>
    <r>
      <t>Az ilyen esetek beviteli módja :
1.a.1 A '</t>
    </r>
    <r>
      <rPr>
        <b/>
        <i/>
        <sz val="10"/>
        <rFont val="Avenir Light"/>
      </rPr>
      <t>Partner meetings</t>
    </r>
    <r>
      <rPr>
        <sz val="10"/>
        <rFont val="Avenir Light"/>
      </rPr>
      <t>' munkalapon a E oszlopban (The meeting takes place) a fogadó partner kiválasztásával a partner országa jelenik meg az F oszlopban. 
      Ha az Európai Unió valamelyik intézményének székhelye a rendezvény helyszíne, akkor a partner neve helyett az E oszlopban az 'other' választandó a lenyíló listából, 
      és ekkor tudják a megfelelő helyszín szerinti országot kiválasztani. 
1.a.2. A '</t>
    </r>
    <r>
      <rPr>
        <b/>
        <i/>
        <sz val="10"/>
        <rFont val="Avenir Light"/>
      </rPr>
      <t>Multiplier events'</t>
    </r>
    <r>
      <rPr>
        <sz val="10"/>
        <rFont val="Avenir Light"/>
      </rPr>
      <t xml:space="preserve"> lapon a B oszlop szolgál a rendezvény helyszínének kiválasztására.     
      Alapértelmezésben a szervező partner kiválasztása (A oszlop) a partner székhelye szerinti országot jelöli meg helyszínként. 
      Ettől eltérő helyszínt ezek után, ugyanebben a (B) oszlopban tud választani.  
</t>
    </r>
    <r>
      <rPr>
        <b/>
        <sz val="10"/>
        <rFont val="Avenir Light"/>
      </rPr>
      <t>Ha e két lapon rosszul válaszott, felülírta az alapértelmezett bevitelt (partner székhelye szerinti ország), akkor a tévesen megadott adatbevitelt nem tudja "javítani" (a választás felülírja az eredeti függvényt). Ilyen esetben a sort hagyja üresen, és egy következő sorba írja be a helyes adatokat.</t>
    </r>
    <r>
      <rPr>
        <sz val="10"/>
        <rFont val="Avenir Light"/>
      </rPr>
      <t xml:space="preserve">
1.a.3. A </t>
    </r>
    <r>
      <rPr>
        <b/>
        <i/>
        <sz val="10"/>
        <rFont val="Avenir Light"/>
      </rPr>
      <t>'Transnational training, teaching and learning</t>
    </r>
    <r>
      <rPr>
        <sz val="10"/>
        <rFont val="Avenir Light"/>
      </rPr>
      <t>' lapokon  (mind a négy szektor esetén) a K oszlop szolgál a rendezvény helyszínének kiválasztására.     
      A lenyíló listában együtt jelennek a 'Management' lapon megadott országok mellett az Európai Unió intézményeinek székhelye szerinti országok. 
      Ügyeljen a helyszín helyes kiválasztására. 
Mindhárom lapon csak akkor tervezzen helyszínt az Európai Unio székhelye szerinti országban, ha a pályázati űrlapon az indoklásban a konkrét helyszínt (= város, intézmény) kellően indokolni tudja,</t>
    </r>
    <r>
      <rPr>
        <b/>
        <sz val="10"/>
        <rFont val="Avenir Light"/>
      </rPr>
      <t xml:space="preserve"> a helyszín igénybevételére valójogosultságát alá tudja támasztani</t>
    </r>
    <r>
      <rPr>
        <sz val="10"/>
        <rFont val="Avenir Light"/>
      </rPr>
      <t>!</t>
    </r>
  </si>
  <si>
    <t>III.</t>
  </si>
  <si>
    <t>Társult partner/ek (Associated partner/s)</t>
  </si>
  <si>
    <r>
      <t xml:space="preserve">A 2017-es szabályozás lehetővé teszi a projektekben társult partnerek bevonását. A definíció szerint támogatást nem igényelhetnek - nem kaphatnak, a partnerség tagjainak felsorolásában önálló partnerintézményként nem jelennek meg (a későbbiekben a többoldalú támogatási szerződésben nem szerződő felek). 
</t>
    </r>
    <r>
      <rPr>
        <b/>
        <sz val="10"/>
        <rFont val="Avenir Light"/>
      </rPr>
      <t xml:space="preserve">A pénzügyi szabályok azonban lehetővé teszik, hogy multiplikációs eseményeket a stratégiai partnerségbe bevont bármely társult partner országában szervezzenek, ha ezt a projekt céljai indokolják. </t>
    </r>
    <r>
      <rPr>
        <sz val="10"/>
        <rFont val="Avenir Light"/>
      </rPr>
      <t xml:space="preserve">
</t>
    </r>
    <r>
      <rPr>
        <b/>
        <sz val="10"/>
        <color rgb="FFFF0000"/>
        <rFont val="Avenir Light"/>
      </rPr>
      <t xml:space="preserve">Az ilyen eseteket a pályázati űrlap leíró részeiben tudják megjeleníteni (a társult partner bemutatásánál általános bemutató részeknél stb.) mivel támogatást csak akkor tudnak multiplikációs rendezvényre tervezni, ha a szervező intézmény jogosult támogatást igénybevételére. </t>
    </r>
    <r>
      <rPr>
        <b/>
        <sz val="10"/>
        <rFont val="Avenir Light"/>
      </rPr>
      <t>Így az ilyen rendezvényeket - igényelhető támogatás híján - önköltséges rendezvényként kell kezelni, a pályázati űrlapban megvalósítáhatóságukat alá kell támasztni a leíró részekben.</t>
    </r>
  </si>
  <si>
    <t>SOK VÁLTOZÁS van - kérem, hogy az Útmutató tanulmányozásával kezdjék!!!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</si>
</sst>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 [$€-1]"/>
    <numFmt numFmtId="165" formatCode="yyyy/\ mmm/"/>
  </numFmts>
  <fonts count="66">
    <font>
      <sz val="10"/>
      <name val="Arial"/>
    </font>
    <font>
      <sz val="11"/>
      <color indexed="8"/>
      <name val="Calibri"/>
      <family val="2"/>
      <charset val="238"/>
    </font>
    <font>
      <b/>
      <sz val="10"/>
      <name val="Arial Narrow"/>
      <family val="2"/>
    </font>
    <font>
      <sz val="12"/>
      <name val="Arial Narrow"/>
      <family val="2"/>
    </font>
    <font>
      <sz val="10"/>
      <name val="Arial Narrow"/>
      <family val="2"/>
    </font>
    <font>
      <b/>
      <sz val="12"/>
      <name val="Arial Narrow"/>
      <family val="2"/>
    </font>
    <font>
      <u/>
      <sz val="10"/>
      <color indexed="12"/>
      <name val="Arial"/>
      <family val="2"/>
    </font>
    <font>
      <sz val="8"/>
      <name val="Arial"/>
      <family val="2"/>
    </font>
    <font>
      <u/>
      <sz val="10"/>
      <color indexed="12"/>
      <name val="Arial Narrow"/>
      <family val="2"/>
    </font>
    <font>
      <b/>
      <sz val="8"/>
      <name val="Arial Narrow"/>
      <family val="2"/>
    </font>
    <font>
      <b/>
      <sz val="10"/>
      <name val="Arial"/>
      <family val="2"/>
    </font>
    <font>
      <i/>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0"/>
      <name val="Calibri"/>
      <family val="2"/>
    </font>
    <font>
      <b/>
      <sz val="12"/>
      <color indexed="53"/>
      <name val="Arial Narrow"/>
      <family val="2"/>
      <charset val="238"/>
    </font>
    <font>
      <sz val="10"/>
      <color indexed="10"/>
      <name val="Arial"/>
      <family val="2"/>
      <charset val="238"/>
    </font>
    <font>
      <b/>
      <sz val="10"/>
      <color indexed="10"/>
      <name val="Arial"/>
      <family val="2"/>
      <charset val="238"/>
    </font>
    <font>
      <b/>
      <sz val="12"/>
      <color indexed="10"/>
      <name val="Arial Narrow"/>
      <family val="2"/>
      <charset val="238"/>
    </font>
    <font>
      <b/>
      <sz val="10"/>
      <color indexed="10"/>
      <name val="Arial Narrow"/>
      <family val="2"/>
    </font>
    <font>
      <sz val="10"/>
      <color indexed="8"/>
      <name val="Arial Narrow"/>
      <family val="2"/>
      <charset val="238"/>
    </font>
    <font>
      <b/>
      <sz val="10"/>
      <color indexed="8"/>
      <name val="Arial Narrow"/>
      <family val="2"/>
      <charset val="238"/>
    </font>
    <font>
      <sz val="10"/>
      <name val="Arial"/>
      <family val="2"/>
      <charset val="238"/>
    </font>
    <font>
      <sz val="12"/>
      <name val="Arial Narrow"/>
      <family val="2"/>
      <charset val="238"/>
    </font>
    <font>
      <sz val="12"/>
      <color indexed="8"/>
      <name val="Arial Narrow"/>
      <family val="2"/>
      <charset val="238"/>
    </font>
    <font>
      <b/>
      <sz val="10"/>
      <name val="Arial"/>
      <family val="2"/>
      <charset val="238"/>
    </font>
    <font>
      <b/>
      <sz val="12"/>
      <name val="Arial Narrow"/>
      <family val="2"/>
      <charset val="238"/>
    </font>
    <font>
      <sz val="10"/>
      <name val="Arial Narrow"/>
      <family val="2"/>
      <charset val="238"/>
    </font>
    <font>
      <b/>
      <sz val="10"/>
      <name val="Arial Narrow"/>
      <family val="2"/>
      <charset val="238"/>
    </font>
    <font>
      <sz val="10"/>
      <color indexed="8"/>
      <name val="Arial"/>
      <family val="2"/>
      <charset val="238"/>
    </font>
    <font>
      <sz val="10"/>
      <color indexed="8"/>
      <name val="Arial Narrow"/>
      <family val="2"/>
    </font>
    <font>
      <u/>
      <sz val="10"/>
      <color indexed="12"/>
      <name val="Arial"/>
      <family val="2"/>
      <charset val="238"/>
    </font>
    <font>
      <b/>
      <sz val="12"/>
      <color indexed="10"/>
      <name val="Avenir Light"/>
    </font>
    <font>
      <b/>
      <shadow/>
      <u/>
      <sz val="12"/>
      <color indexed="10"/>
      <name val="Avenir Light"/>
    </font>
    <font>
      <sz val="10"/>
      <name val="Avenir Light"/>
    </font>
    <font>
      <b/>
      <sz val="10"/>
      <name val="Avenir Light"/>
    </font>
    <font>
      <b/>
      <i/>
      <sz val="10"/>
      <name val="Avenir Light"/>
    </font>
    <font>
      <u/>
      <sz val="10"/>
      <color indexed="12"/>
      <name val="Avenir Light"/>
    </font>
    <font>
      <b/>
      <sz val="11"/>
      <color indexed="8"/>
      <name val="Calibri"/>
      <family val="2"/>
    </font>
    <font>
      <sz val="11"/>
      <color indexed="10"/>
      <name val="Calibri"/>
      <family val="2"/>
    </font>
    <font>
      <i/>
      <sz val="11"/>
      <color indexed="8"/>
      <name val="Calibri"/>
      <family val="2"/>
    </font>
    <font>
      <sz val="11"/>
      <color indexed="8"/>
      <name val="Calibri"/>
      <family val="2"/>
    </font>
    <font>
      <b/>
      <i/>
      <sz val="10"/>
      <color indexed="10"/>
      <name val="Avenir Light"/>
    </font>
    <font>
      <u/>
      <sz val="10"/>
      <name val="Avenir Light"/>
    </font>
    <font>
      <sz val="10"/>
      <name val="Arial"/>
      <family val="2"/>
    </font>
    <font>
      <sz val="11"/>
      <color theme="1"/>
      <name val="Calibri"/>
      <family val="2"/>
      <scheme val="minor"/>
    </font>
    <font>
      <b/>
      <sz val="10"/>
      <color rgb="FFFF0000"/>
      <name val="Arial Narrow"/>
      <family val="2"/>
      <charset val="238"/>
    </font>
    <font>
      <sz val="8"/>
      <color indexed="81"/>
      <name val="Tahoma"/>
      <family val="2"/>
      <charset val="238"/>
    </font>
    <font>
      <b/>
      <sz val="10"/>
      <color rgb="FF00B050"/>
      <name val="Avenir Light"/>
    </font>
    <font>
      <sz val="10"/>
      <color rgb="FF00B050"/>
      <name val="Avenir Light"/>
    </font>
    <font>
      <b/>
      <sz val="10"/>
      <color rgb="FFFF0000"/>
      <name val="Avenir Light"/>
    </font>
    <font>
      <b/>
      <sz val="12"/>
      <color indexed="18"/>
      <name val="Arial Narrow"/>
      <family val="2"/>
      <charset val="238"/>
    </font>
    <font>
      <sz val="11"/>
      <name val="Arial Narrow"/>
      <family val="2"/>
      <charset val="238"/>
    </font>
    <font>
      <b/>
      <sz val="12"/>
      <color rgb="FFFF0000"/>
      <name val="Arial Narrow"/>
      <family val="2"/>
      <charset val="238"/>
    </font>
    <font>
      <b/>
      <u/>
      <sz val="12"/>
      <name val="Avenir Light"/>
    </font>
    <font>
      <sz val="12"/>
      <name val="Avenir Light"/>
    </font>
    <font>
      <b/>
      <i/>
      <u/>
      <sz val="10"/>
      <name val="Avenir Light"/>
    </font>
    <font>
      <b/>
      <i/>
      <sz val="10"/>
      <color theme="9" tint="-0.249977111117893"/>
      <name val="Avenir Light"/>
    </font>
    <font>
      <b/>
      <sz val="10"/>
      <name val="Avenir Light"/>
    </font>
    <font>
      <b/>
      <i/>
      <sz val="10"/>
      <name val="Avenir Light"/>
    </font>
    <font>
      <sz val="11"/>
      <name val="Avenir Light"/>
    </font>
    <font>
      <b/>
      <sz val="14"/>
      <color rgb="FFFF0000"/>
      <name val="Avenir Light"/>
      <charset val="238"/>
    </font>
  </fonts>
  <fills count="30">
    <fill>
      <patternFill patternType="none"/>
    </fill>
    <fill>
      <patternFill patternType="gray125"/>
    </fill>
    <fill>
      <patternFill patternType="solid">
        <fgColor indexed="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2"/>
        <bgColor indexed="64"/>
      </patternFill>
    </fill>
    <fill>
      <patternFill patternType="solid">
        <fgColor indexed="22"/>
        <bgColor indexed="8"/>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7"/>
        <bgColor indexed="8"/>
      </patternFill>
    </fill>
    <fill>
      <patternFill patternType="solid">
        <fgColor indexed="8"/>
        <bgColor indexed="64"/>
      </patternFill>
    </fill>
    <fill>
      <patternFill patternType="solid">
        <fgColor indexed="34"/>
        <bgColor indexed="64"/>
      </patternFill>
    </fill>
    <fill>
      <patternFill patternType="solid">
        <fgColor rgb="FFFFCC99"/>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s>
  <borders count="1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indexed="10"/>
      </top>
      <bottom style="thin">
        <color indexed="10"/>
      </bottom>
      <diagonal/>
    </border>
    <border>
      <left style="medium">
        <color auto="1"/>
      </left>
      <right style="medium">
        <color auto="1"/>
      </right>
      <top style="thin">
        <color indexed="10"/>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indexed="10"/>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top/>
      <bottom/>
      <diagonal/>
    </border>
    <border>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medium">
        <color auto="1"/>
      </left>
      <right/>
      <top style="medium">
        <color auto="1"/>
      </top>
      <bottom style="thin">
        <color indexed="10"/>
      </bottom>
      <diagonal/>
    </border>
    <border>
      <left style="medium">
        <color auto="1"/>
      </left>
      <right/>
      <top style="thin">
        <color indexed="10"/>
      </top>
      <bottom style="thin">
        <color indexed="10"/>
      </bottom>
      <diagonal/>
    </border>
    <border>
      <left style="medium">
        <color auto="1"/>
      </left>
      <right/>
      <top style="thin">
        <color indexed="10"/>
      </top>
      <bottom style="medium">
        <color auto="1"/>
      </bottom>
      <diagonal/>
    </border>
    <border>
      <left style="thin">
        <color indexed="9"/>
      </left>
      <right style="thin">
        <color indexed="9"/>
      </right>
      <top style="thin">
        <color indexed="9"/>
      </top>
      <bottom style="thin">
        <color indexed="9"/>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medium">
        <color auto="1"/>
      </bottom>
      <diagonal/>
    </border>
    <border>
      <left/>
      <right/>
      <top style="medium">
        <color auto="1"/>
      </top>
      <bottom/>
      <diagonal/>
    </border>
    <border>
      <left style="medium">
        <color auto="1"/>
      </left>
      <right style="thin">
        <color auto="1"/>
      </right>
      <top/>
      <bottom style="thin">
        <color indexed="10"/>
      </bottom>
      <diagonal/>
    </border>
    <border>
      <left style="thin">
        <color auto="1"/>
      </left>
      <right style="thin">
        <color auto="1"/>
      </right>
      <top/>
      <bottom style="thin">
        <color auto="1"/>
      </bottom>
      <diagonal/>
    </border>
    <border>
      <left style="thin">
        <color auto="1"/>
      </left>
      <right style="thin">
        <color auto="1"/>
      </right>
      <top/>
      <bottom style="thin">
        <color indexed="10"/>
      </bottom>
      <diagonal/>
    </border>
    <border>
      <left style="medium">
        <color auto="1"/>
      </left>
      <right style="thin">
        <color auto="1"/>
      </right>
      <top style="thin">
        <color indexed="10"/>
      </top>
      <bottom style="thin">
        <color indexed="10"/>
      </bottom>
      <diagonal/>
    </border>
    <border>
      <left style="thin">
        <color auto="1"/>
      </left>
      <right style="thin">
        <color auto="1"/>
      </right>
      <top style="thin">
        <color indexed="10"/>
      </top>
      <bottom style="thin">
        <color indexed="10"/>
      </bottom>
      <diagonal/>
    </border>
    <border>
      <left style="medium">
        <color auto="1"/>
      </left>
      <right style="thin">
        <color auto="1"/>
      </right>
      <top style="thin">
        <color indexed="10"/>
      </top>
      <bottom style="medium">
        <color auto="1"/>
      </bottom>
      <diagonal/>
    </border>
    <border>
      <left style="thin">
        <color auto="1"/>
      </left>
      <right style="thin">
        <color auto="1"/>
      </right>
      <top style="thin">
        <color indexed="10"/>
      </top>
      <bottom style="medium">
        <color auto="1"/>
      </bottom>
      <diagonal/>
    </border>
    <border>
      <left style="medium">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style="medium">
        <color auto="1"/>
      </left>
      <right style="medium">
        <color indexed="10"/>
      </right>
      <top style="medium">
        <color auto="1"/>
      </top>
      <bottom style="medium">
        <color auto="1"/>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auto="1"/>
      </right>
      <top style="medium">
        <color auto="1"/>
      </top>
      <bottom style="thin">
        <color indexed="10"/>
      </bottom>
      <diagonal/>
    </border>
    <border>
      <left/>
      <right style="medium">
        <color auto="1"/>
      </right>
      <top style="thin">
        <color indexed="10"/>
      </top>
      <bottom style="thin">
        <color indexed="10"/>
      </bottom>
      <diagonal/>
    </border>
    <border>
      <left/>
      <right style="medium">
        <color auto="1"/>
      </right>
      <top style="thin">
        <color indexed="10"/>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thin">
        <color auto="1"/>
      </left>
      <right style="thin">
        <color auto="1"/>
      </right>
      <top style="medium">
        <color auto="1"/>
      </top>
      <bottom style="thin">
        <color indexed="1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16">
    <xf numFmtId="0" fontId="0"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2" borderId="1" applyNumberFormat="0" applyAlignment="0" applyProtection="0"/>
    <xf numFmtId="0" fontId="15" fillId="10" borderId="2" applyNumberFormat="0" applyAlignment="0" applyProtection="0"/>
    <xf numFmtId="0" fontId="16" fillId="0" borderId="0" applyNumberFormat="0" applyFill="0" applyBorder="0" applyAlignment="0" applyProtection="0"/>
    <xf numFmtId="0" fontId="17" fillId="11" borderId="0" applyNumberFormat="0" applyBorder="0" applyAlignment="0" applyProtection="0"/>
    <xf numFmtId="0" fontId="6" fillId="0" borderId="0" applyNumberFormat="0" applyFill="0" applyBorder="0" applyAlignment="0" applyProtection="0">
      <alignment vertical="top"/>
      <protection locked="0"/>
    </xf>
    <xf numFmtId="0" fontId="18" fillId="3" borderId="0" applyNumberFormat="0" applyBorder="0" applyAlignment="0" applyProtection="0"/>
    <xf numFmtId="0" fontId="49" fillId="0" borderId="0"/>
    <xf numFmtId="0" fontId="26" fillId="0" borderId="0"/>
  </cellStyleXfs>
  <cellXfs count="619">
    <xf numFmtId="0" fontId="0" fillId="0" borderId="0" xfId="0"/>
    <xf numFmtId="0" fontId="30" fillId="0" borderId="0" xfId="0" applyFont="1" applyAlignment="1">
      <alignment vertical="center"/>
    </xf>
    <xf numFmtId="0" fontId="11" fillId="0" borderId="0" xfId="0" applyFont="1" applyAlignment="1" applyProtection="1">
      <alignment vertical="center"/>
      <protection hidden="1"/>
    </xf>
    <xf numFmtId="0" fontId="0" fillId="0" borderId="0" xfId="0" applyProtection="1">
      <protection hidden="1"/>
    </xf>
    <xf numFmtId="0" fontId="10" fillId="0" borderId="0" xfId="0" applyFont="1" applyBorder="1" applyAlignment="1" applyProtection="1">
      <alignment vertical="center"/>
      <protection hidden="1"/>
    </xf>
    <xf numFmtId="0" fontId="29" fillId="0" borderId="27" xfId="0" applyFont="1" applyFill="1" applyBorder="1" applyAlignment="1" applyProtection="1">
      <alignment horizontal="left"/>
      <protection locked="0"/>
    </xf>
    <xf numFmtId="0" fontId="29" fillId="0" borderId="28" xfId="0" applyFont="1" applyFill="1" applyBorder="1" applyAlignment="1" applyProtection="1">
      <alignment horizontal="left"/>
      <protection locked="0"/>
    </xf>
    <xf numFmtId="0" fontId="4" fillId="0" borderId="0" xfId="0" applyFont="1" applyFill="1" applyBorder="1" applyProtection="1">
      <protection hidden="1"/>
    </xf>
    <xf numFmtId="0" fontId="4" fillId="0" borderId="0" xfId="0" applyFont="1" applyFill="1" applyBorder="1" applyAlignment="1" applyProtection="1">
      <alignment horizontal="left"/>
      <protection hidden="1"/>
    </xf>
    <xf numFmtId="0" fontId="26" fillId="12" borderId="29" xfId="0" applyFont="1" applyFill="1" applyBorder="1" applyAlignment="1" applyProtection="1">
      <protection hidden="1"/>
    </xf>
    <xf numFmtId="3" fontId="29" fillId="13" borderId="29" xfId="0" applyNumberFormat="1" applyFont="1" applyFill="1" applyBorder="1" applyAlignment="1" applyProtection="1">
      <alignment vertical="center"/>
      <protection hidden="1"/>
    </xf>
    <xf numFmtId="3" fontId="21" fillId="0" borderId="0" xfId="0" applyNumberFormat="1" applyFont="1" applyAlignment="1" applyProtection="1">
      <alignment vertical="center"/>
      <protection hidden="1"/>
    </xf>
    <xf numFmtId="0" fontId="26" fillId="0" borderId="0" xfId="0" applyFont="1" applyProtection="1">
      <protection hidden="1"/>
    </xf>
    <xf numFmtId="0" fontId="26" fillId="14" borderId="9" xfId="0" applyFont="1" applyFill="1" applyBorder="1" applyAlignment="1" applyProtection="1">
      <alignment vertical="top" wrapText="1"/>
      <protection locked="0" hidden="1"/>
    </xf>
    <xf numFmtId="0" fontId="26" fillId="14" borderId="10" xfId="0" applyFont="1" applyFill="1" applyBorder="1" applyAlignment="1" applyProtection="1">
      <alignment vertical="top" wrapText="1"/>
      <protection locked="0" hidden="1"/>
    </xf>
    <xf numFmtId="0" fontId="8" fillId="0" borderId="0" xfId="12" applyFont="1" applyFill="1" applyBorder="1" applyAlignment="1" applyProtection="1">
      <alignment horizontal="left"/>
      <protection hidden="1"/>
    </xf>
    <xf numFmtId="0" fontId="4" fillId="0" borderId="0" xfId="0" applyFont="1" applyFill="1" applyBorder="1" applyAlignment="1" applyProtection="1">
      <protection hidden="1"/>
    </xf>
    <xf numFmtId="3" fontId="26" fillId="15" borderId="4" xfId="0" applyNumberFormat="1" applyFont="1" applyFill="1" applyBorder="1" applyProtection="1">
      <protection hidden="1"/>
    </xf>
    <xf numFmtId="3" fontId="26" fillId="15" borderId="3" xfId="0" applyNumberFormat="1" applyFont="1" applyFill="1" applyBorder="1" applyProtection="1">
      <protection hidden="1"/>
    </xf>
    <xf numFmtId="49" fontId="26" fillId="16" borderId="30" xfId="0" applyNumberFormat="1" applyFont="1" applyFill="1" applyBorder="1" applyAlignment="1" applyProtection="1">
      <alignment horizontal="center" vertical="center"/>
      <protection locked="0"/>
    </xf>
    <xf numFmtId="0" fontId="26" fillId="16" borderId="30" xfId="0" applyNumberFormat="1" applyFont="1" applyFill="1" applyBorder="1" applyAlignment="1" applyProtection="1">
      <alignment horizontal="center" vertical="center"/>
      <protection locked="0"/>
    </xf>
    <xf numFmtId="49" fontId="26" fillId="16" borderId="27" xfId="0" applyNumberFormat="1" applyFont="1" applyFill="1" applyBorder="1" applyAlignment="1" applyProtection="1">
      <alignment horizontal="center" vertical="center"/>
      <protection locked="0"/>
    </xf>
    <xf numFmtId="49" fontId="26" fillId="16" borderId="27" xfId="0" applyNumberFormat="1" applyFont="1" applyFill="1" applyBorder="1" applyProtection="1">
      <protection locked="0"/>
    </xf>
    <xf numFmtId="0" fontId="26" fillId="16" borderId="27" xfId="0" applyNumberFormat="1" applyFont="1" applyFill="1" applyBorder="1" applyAlignment="1" applyProtection="1">
      <alignment horizontal="center" vertical="center"/>
      <protection locked="0"/>
    </xf>
    <xf numFmtId="49" fontId="20" fillId="16" borderId="27" xfId="0" applyNumberFormat="1" applyFont="1" applyFill="1" applyBorder="1" applyProtection="1">
      <protection locked="0"/>
    </xf>
    <xf numFmtId="49" fontId="26" fillId="16" borderId="28" xfId="0" applyNumberFormat="1" applyFont="1" applyFill="1" applyBorder="1" applyAlignment="1" applyProtection="1">
      <alignment horizontal="center" vertical="center"/>
      <protection locked="0"/>
    </xf>
    <xf numFmtId="49" fontId="26" fillId="16" borderId="28" xfId="0" applyNumberFormat="1" applyFont="1" applyFill="1" applyBorder="1" applyProtection="1">
      <protection locked="0"/>
    </xf>
    <xf numFmtId="0" fontId="26" fillId="16" borderId="28" xfId="0" applyNumberFormat="1" applyFont="1" applyFill="1" applyBorder="1" applyAlignment="1" applyProtection="1">
      <alignment horizontal="center" vertical="center"/>
      <protection locked="0"/>
    </xf>
    <xf numFmtId="0" fontId="29" fillId="15" borderId="31" xfId="0" applyNumberFormat="1" applyFont="1" applyFill="1" applyBorder="1" applyAlignment="1" applyProtection="1">
      <alignment vertical="center" wrapText="1"/>
      <protection hidden="1"/>
    </xf>
    <xf numFmtId="0" fontId="29" fillId="14" borderId="20" xfId="0" applyFont="1" applyFill="1" applyBorder="1" applyAlignment="1" applyProtection="1">
      <alignment horizontal="left"/>
      <protection locked="0" hidden="1"/>
    </xf>
    <xf numFmtId="0" fontId="26" fillId="15" borderId="20" xfId="0" applyFont="1" applyFill="1" applyBorder="1" applyProtection="1">
      <protection hidden="1"/>
    </xf>
    <xf numFmtId="49" fontId="26" fillId="14" borderId="20" xfId="0" applyNumberFormat="1" applyFont="1" applyFill="1" applyBorder="1" applyProtection="1">
      <protection locked="0" hidden="1"/>
    </xf>
    <xf numFmtId="0" fontId="29" fillId="14" borderId="21" xfId="0" applyFont="1" applyFill="1" applyBorder="1" applyAlignment="1" applyProtection="1">
      <alignment horizontal="left"/>
      <protection locked="0" hidden="1"/>
    </xf>
    <xf numFmtId="0" fontId="26" fillId="15" borderId="21" xfId="0" applyFont="1" applyFill="1" applyBorder="1" applyProtection="1">
      <protection hidden="1"/>
    </xf>
    <xf numFmtId="49" fontId="26" fillId="14" borderId="21" xfId="0" applyNumberFormat="1" applyFont="1" applyFill="1" applyBorder="1" applyProtection="1">
      <protection locked="0" hidden="1"/>
    </xf>
    <xf numFmtId="0" fontId="29" fillId="14" borderId="22" xfId="0" applyFont="1" applyFill="1" applyBorder="1" applyAlignment="1" applyProtection="1">
      <alignment horizontal="left"/>
      <protection locked="0" hidden="1"/>
    </xf>
    <xf numFmtId="0" fontId="26" fillId="15" borderId="22" xfId="0" applyFont="1" applyFill="1" applyBorder="1" applyProtection="1">
      <protection hidden="1"/>
    </xf>
    <xf numFmtId="49" fontId="26" fillId="14" borderId="22" xfId="0" applyNumberFormat="1" applyFont="1" applyFill="1" applyBorder="1" applyProtection="1">
      <protection locked="0" hidden="1"/>
    </xf>
    <xf numFmtId="0" fontId="35" fillId="0" borderId="0" xfId="12" applyFont="1" applyFill="1" applyBorder="1" applyAlignment="1" applyProtection="1">
      <alignment horizontal="left"/>
      <protection hidden="1"/>
    </xf>
    <xf numFmtId="0" fontId="26" fillId="0" borderId="0" xfId="0" applyFont="1" applyFill="1" applyBorder="1" applyAlignment="1" applyProtection="1">
      <protection hidden="1"/>
    </xf>
    <xf numFmtId="0" fontId="26" fillId="0" borderId="0" xfId="0" applyFont="1" applyFill="1" applyBorder="1" applyAlignment="1" applyProtection="1">
      <alignment horizontal="center" vertical="center"/>
      <protection hidden="1"/>
    </xf>
    <xf numFmtId="1"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horizontal="center" vertical="center"/>
      <protection hidden="1"/>
    </xf>
    <xf numFmtId="49" fontId="26" fillId="0" borderId="0" xfId="0" applyNumberFormat="1" applyFont="1" applyFill="1" applyBorder="1" applyAlignment="1" applyProtection="1">
      <protection hidden="1"/>
    </xf>
    <xf numFmtId="0" fontId="26" fillId="0" borderId="0" xfId="0" applyFont="1" applyFill="1" applyBorder="1" applyAlignment="1" applyProtection="1">
      <alignment horizontal="left"/>
      <protection hidden="1"/>
    </xf>
    <xf numFmtId="0" fontId="24"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25" fillId="0" borderId="0" xfId="0" applyFont="1" applyAlignment="1" applyProtection="1">
      <alignment horizontal="center"/>
      <protection hidden="1"/>
    </xf>
    <xf numFmtId="0" fontId="2" fillId="0" borderId="0" xfId="0" applyFont="1" applyAlignment="1" applyProtection="1">
      <alignment horizontal="center"/>
      <protection hidden="1"/>
    </xf>
    <xf numFmtId="0" fontId="29" fillId="15" borderId="15" xfId="0" applyNumberFormat="1" applyFont="1" applyFill="1" applyBorder="1" applyAlignment="1" applyProtection="1">
      <alignment vertical="center" wrapText="1"/>
      <protection hidden="1"/>
    </xf>
    <xf numFmtId="0" fontId="29" fillId="15" borderId="14" xfId="0" applyNumberFormat="1" applyFont="1" applyFill="1" applyBorder="1" applyAlignment="1" applyProtection="1">
      <alignment vertical="center" wrapText="1"/>
      <protection hidden="1"/>
    </xf>
    <xf numFmtId="0" fontId="23" fillId="0" borderId="0" xfId="0" applyFont="1" applyAlignment="1" applyProtection="1">
      <alignment vertical="center" wrapText="1"/>
      <protection hidden="1"/>
    </xf>
    <xf numFmtId="0" fontId="26" fillId="15" borderId="15" xfId="0" applyFont="1" applyFill="1" applyBorder="1" applyProtection="1">
      <protection hidden="1"/>
    </xf>
    <xf numFmtId="0" fontId="26" fillId="15" borderId="16" xfId="0" applyFont="1" applyFill="1" applyBorder="1" applyProtection="1">
      <protection hidden="1"/>
    </xf>
    <xf numFmtId="0" fontId="33" fillId="0" borderId="0" xfId="0" applyFont="1" applyProtection="1">
      <protection hidden="1"/>
    </xf>
    <xf numFmtId="3"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vertical="center"/>
      <protection hidden="1"/>
    </xf>
    <xf numFmtId="3" fontId="26" fillId="16" borderId="30" xfId="0" applyNumberFormat="1" applyFont="1" applyFill="1" applyBorder="1" applyAlignment="1" applyProtection="1">
      <alignment horizontal="center" vertical="center"/>
      <protection locked="0"/>
    </xf>
    <xf numFmtId="0" fontId="26" fillId="16" borderId="30" xfId="0" applyNumberFormat="1" applyFont="1" applyFill="1" applyBorder="1" applyAlignment="1" applyProtection="1">
      <alignment vertical="center"/>
      <protection locked="0"/>
    </xf>
    <xf numFmtId="3" fontId="26" fillId="16" borderId="27" xfId="0" applyNumberFormat="1" applyFont="1" applyFill="1" applyBorder="1" applyAlignment="1" applyProtection="1">
      <alignment horizontal="center" vertical="center"/>
      <protection locked="0"/>
    </xf>
    <xf numFmtId="0" fontId="26" fillId="16" borderId="27" xfId="0" applyNumberFormat="1" applyFont="1" applyFill="1" applyBorder="1" applyAlignment="1" applyProtection="1">
      <alignment vertical="center"/>
      <protection locked="0"/>
    </xf>
    <xf numFmtId="3" fontId="26" fillId="16" borderId="28" xfId="0" applyNumberFormat="1" applyFont="1" applyFill="1" applyBorder="1" applyAlignment="1" applyProtection="1">
      <alignment horizontal="center" vertical="center"/>
      <protection locked="0"/>
    </xf>
    <xf numFmtId="0" fontId="26" fillId="16" borderId="28" xfId="0" applyNumberFormat="1" applyFont="1" applyFill="1" applyBorder="1" applyAlignment="1" applyProtection="1">
      <alignment vertical="center"/>
      <protection locked="0"/>
    </xf>
    <xf numFmtId="0" fontId="23" fillId="0" borderId="33" xfId="0" applyFont="1" applyBorder="1" applyAlignment="1" applyProtection="1">
      <alignment vertical="center"/>
      <protection hidden="1"/>
    </xf>
    <xf numFmtId="0" fontId="5" fillId="0" borderId="0" xfId="0" applyFont="1" applyProtection="1">
      <protection hidden="1"/>
    </xf>
    <xf numFmtId="0" fontId="3" fillId="0" borderId="0" xfId="0" applyFont="1" applyProtection="1">
      <protection hidden="1"/>
    </xf>
    <xf numFmtId="0" fontId="5" fillId="0" borderId="0" xfId="0" applyFont="1" applyAlignment="1" applyProtection="1">
      <alignment horizontal="center"/>
      <protection hidden="1"/>
    </xf>
    <xf numFmtId="0" fontId="21" fillId="0" borderId="0" xfId="0" applyFont="1" applyProtection="1">
      <protection hidden="1"/>
    </xf>
    <xf numFmtId="0" fontId="2" fillId="0" borderId="0" xfId="0" applyFont="1" applyAlignment="1" applyProtection="1">
      <alignment horizontal="center" vertical="center"/>
      <protection hidden="1"/>
    </xf>
    <xf numFmtId="0" fontId="26" fillId="0" borderId="0" xfId="0" applyFont="1" applyAlignment="1" applyProtection="1">
      <alignment vertical="center"/>
      <protection hidden="1"/>
    </xf>
    <xf numFmtId="0" fontId="26" fillId="15" borderId="15" xfId="0" applyFont="1" applyFill="1" applyBorder="1" applyAlignment="1" applyProtection="1">
      <alignment vertical="center"/>
      <protection hidden="1"/>
    </xf>
    <xf numFmtId="0" fontId="26" fillId="15" borderId="16" xfId="0" applyFont="1" applyFill="1" applyBorder="1" applyAlignment="1" applyProtection="1">
      <alignment vertical="center"/>
      <protection hidden="1"/>
    </xf>
    <xf numFmtId="0" fontId="26" fillId="15" borderId="22" xfId="0" applyFont="1" applyFill="1" applyBorder="1" applyAlignment="1" applyProtection="1">
      <alignment vertical="center"/>
      <protection hidden="1"/>
    </xf>
    <xf numFmtId="0" fontId="26" fillId="0" borderId="0" xfId="0" applyFont="1" applyFill="1" applyBorder="1" applyAlignment="1" applyProtection="1">
      <alignment horizontal="left" vertical="center"/>
      <protection hidden="1"/>
    </xf>
    <xf numFmtId="0" fontId="26" fillId="0" borderId="0" xfId="0" applyFont="1" applyFill="1" applyBorder="1" applyAlignment="1" applyProtection="1">
      <alignment vertical="center"/>
      <protection hidden="1"/>
    </xf>
    <xf numFmtId="3" fontId="26" fillId="0" borderId="0" xfId="0" applyNumberFormat="1" applyFont="1" applyFill="1" applyBorder="1" applyAlignment="1" applyProtection="1">
      <alignment vertical="center"/>
      <protection hidden="1"/>
    </xf>
    <xf numFmtId="49" fontId="26" fillId="0" borderId="0" xfId="0" applyNumberFormat="1" applyFont="1" applyFill="1" applyBorder="1" applyAlignment="1" applyProtection="1">
      <alignment vertical="center"/>
      <protection hidden="1"/>
    </xf>
    <xf numFmtId="49" fontId="26" fillId="14" borderId="20" xfId="0" applyNumberFormat="1" applyFont="1" applyFill="1" applyBorder="1" applyAlignment="1" applyProtection="1">
      <alignment vertical="center"/>
      <protection locked="0" hidden="1"/>
    </xf>
    <xf numFmtId="49" fontId="26" fillId="14" borderId="21" xfId="0" applyNumberFormat="1" applyFont="1" applyFill="1" applyBorder="1" applyAlignment="1" applyProtection="1">
      <alignment vertical="center"/>
      <protection locked="0" hidden="1"/>
    </xf>
    <xf numFmtId="49" fontId="26" fillId="14" borderId="22" xfId="0" applyNumberFormat="1" applyFont="1" applyFill="1" applyBorder="1" applyAlignment="1" applyProtection="1">
      <alignment vertical="center"/>
      <protection locked="0" hidden="1"/>
    </xf>
    <xf numFmtId="0" fontId="4" fillId="0" borderId="0" xfId="0" applyFont="1" applyFill="1" applyProtection="1">
      <protection hidden="1"/>
    </xf>
    <xf numFmtId="0" fontId="2"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wrapText="1"/>
      <protection hidden="1"/>
    </xf>
    <xf numFmtId="3" fontId="23" fillId="0" borderId="0" xfId="0" applyNumberFormat="1" applyFont="1" applyFill="1" applyBorder="1" applyAlignment="1" applyProtection="1">
      <alignment vertical="center"/>
      <protection hidden="1"/>
    </xf>
    <xf numFmtId="0" fontId="4" fillId="0" borderId="0" xfId="0" applyFont="1" applyAlignment="1" applyProtection="1">
      <protection hidden="1"/>
    </xf>
    <xf numFmtId="3" fontId="29" fillId="15" borderId="20" xfId="0" applyNumberFormat="1" applyFont="1" applyFill="1" applyBorder="1" applyAlignment="1" applyProtection="1">
      <alignment vertical="center" wrapText="1"/>
      <protection hidden="1"/>
    </xf>
    <xf numFmtId="3" fontId="26" fillId="15" borderId="32" xfId="0" applyNumberFormat="1" applyFont="1" applyFill="1" applyBorder="1" applyAlignment="1" applyProtection="1">
      <alignment vertical="center" wrapText="1"/>
      <protection hidden="1"/>
    </xf>
    <xf numFmtId="3" fontId="26" fillId="15" borderId="32" xfId="0" applyNumberFormat="1" applyFont="1" applyFill="1" applyBorder="1" applyAlignment="1" applyProtection="1">
      <alignment vertical="center"/>
      <protection hidden="1"/>
    </xf>
    <xf numFmtId="3" fontId="26" fillId="17" borderId="34" xfId="0" applyNumberFormat="1" applyFont="1" applyFill="1" applyBorder="1" applyAlignment="1" applyProtection="1">
      <alignment vertical="center"/>
      <protection hidden="1"/>
    </xf>
    <xf numFmtId="1" fontId="4" fillId="0" borderId="0" xfId="0" applyNumberFormat="1" applyFont="1" applyFill="1" applyBorder="1" applyAlignment="1" applyProtection="1">
      <alignment vertical="center"/>
      <protection hidden="1"/>
    </xf>
    <xf numFmtId="3" fontId="29" fillId="15" borderId="32"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protection hidden="1"/>
    </xf>
    <xf numFmtId="3" fontId="26" fillId="17" borderId="16" xfId="0" applyNumberFormat="1" applyFont="1" applyFill="1" applyBorder="1" applyAlignment="1" applyProtection="1">
      <alignment vertical="center"/>
      <protection hidden="1"/>
    </xf>
    <xf numFmtId="3" fontId="29" fillId="15" borderId="35"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protection hidden="1"/>
    </xf>
    <xf numFmtId="3" fontId="26" fillId="17" borderId="17" xfId="0" applyNumberFormat="1" applyFont="1" applyFill="1" applyBorder="1" applyAlignment="1" applyProtection="1">
      <alignment vertical="center"/>
      <protection hidden="1"/>
    </xf>
    <xf numFmtId="0" fontId="4" fillId="0" borderId="0" xfId="0" applyFont="1" applyAlignment="1" applyProtection="1">
      <alignment horizontal="left"/>
      <protection hidden="1"/>
    </xf>
    <xf numFmtId="0" fontId="2" fillId="0" borderId="35" xfId="0" applyFont="1" applyBorder="1" applyAlignment="1" applyProtection="1">
      <alignment horizontal="center" vertical="center"/>
      <protection hidden="1"/>
    </xf>
    <xf numFmtId="49" fontId="26" fillId="14" borderId="11" xfId="0" applyNumberFormat="1" applyFont="1" applyFill="1" applyBorder="1" applyAlignment="1" applyProtection="1">
      <alignment vertical="center"/>
      <protection locked="0" hidden="1"/>
    </xf>
    <xf numFmtId="49" fontId="26" fillId="14" borderId="7" xfId="0" applyNumberFormat="1" applyFont="1" applyFill="1" applyBorder="1" applyAlignment="1" applyProtection="1">
      <alignment vertical="center"/>
      <protection locked="0" hidden="1"/>
    </xf>
    <xf numFmtId="49" fontId="26" fillId="14" borderId="8" xfId="0" applyNumberFormat="1" applyFont="1" applyFill="1" applyBorder="1" applyAlignment="1" applyProtection="1">
      <alignment vertical="center"/>
      <protection locked="0" hidden="1"/>
    </xf>
    <xf numFmtId="0" fontId="10" fillId="0" borderId="27" xfId="0" applyFont="1" applyFill="1" applyBorder="1" applyAlignment="1" applyProtection="1">
      <alignment horizontal="left"/>
      <protection locked="0"/>
    </xf>
    <xf numFmtId="49" fontId="0" fillId="16" borderId="30" xfId="0" applyNumberFormat="1" applyFont="1" applyFill="1" applyBorder="1" applyAlignment="1" applyProtection="1">
      <alignment horizontal="center" vertical="center"/>
      <protection locked="0"/>
    </xf>
    <xf numFmtId="49" fontId="0" fillId="16" borderId="30" xfId="0" applyNumberFormat="1" applyFont="1" applyFill="1" applyBorder="1" applyProtection="1">
      <protection locked="0"/>
    </xf>
    <xf numFmtId="165" fontId="26" fillId="16" borderId="30" xfId="0" applyNumberFormat="1" applyFont="1" applyFill="1" applyBorder="1" applyAlignment="1" applyProtection="1">
      <alignment horizontal="center" vertical="center"/>
      <protection locked="0"/>
    </xf>
    <xf numFmtId="165" fontId="26" fillId="16" borderId="27" xfId="0" applyNumberFormat="1" applyFont="1" applyFill="1" applyBorder="1" applyAlignment="1" applyProtection="1">
      <alignment horizontal="center" vertical="center"/>
      <protection locked="0"/>
    </xf>
    <xf numFmtId="165" fontId="26" fillId="16" borderId="28" xfId="0" applyNumberFormat="1" applyFont="1" applyFill="1" applyBorder="1" applyAlignment="1" applyProtection="1">
      <alignment horizontal="center" vertical="center"/>
      <protection locked="0"/>
    </xf>
    <xf numFmtId="0" fontId="42" fillId="0" borderId="0" xfId="14" applyFont="1"/>
    <xf numFmtId="0" fontId="49" fillId="0" borderId="0" xfId="14"/>
    <xf numFmtId="0" fontId="49" fillId="0" borderId="46" xfId="14" applyBorder="1"/>
    <xf numFmtId="0" fontId="42" fillId="0" borderId="4" xfId="14" applyFont="1" applyFill="1" applyBorder="1"/>
    <xf numFmtId="0" fontId="42" fillId="0" borderId="41" xfId="14" applyFont="1" applyFill="1" applyBorder="1" applyAlignment="1">
      <alignment horizontal="center"/>
    </xf>
    <xf numFmtId="0" fontId="43" fillId="18" borderId="0" xfId="14" applyFont="1" applyFill="1"/>
    <xf numFmtId="0" fontId="49" fillId="18" borderId="0" xfId="14" applyFill="1"/>
    <xf numFmtId="0" fontId="49" fillId="18" borderId="47" xfId="14" applyFill="1" applyBorder="1"/>
    <xf numFmtId="0" fontId="44" fillId="0" borderId="0" xfId="14" applyFont="1"/>
    <xf numFmtId="0" fontId="49" fillId="0" borderId="42" xfId="14" applyBorder="1"/>
    <xf numFmtId="0" fontId="49" fillId="0" borderId="48" xfId="14" applyBorder="1"/>
    <xf numFmtId="0" fontId="49" fillId="0" borderId="47" xfId="14" applyBorder="1"/>
    <xf numFmtId="0" fontId="49" fillId="0" borderId="49" xfId="14" applyBorder="1"/>
    <xf numFmtId="0" fontId="49" fillId="0" borderId="0" xfId="14" applyBorder="1"/>
    <xf numFmtId="0" fontId="49" fillId="0" borderId="0" xfId="14" quotePrefix="1" applyBorder="1" applyAlignment="1"/>
    <xf numFmtId="0" fontId="49" fillId="0" borderId="50" xfId="14" applyBorder="1"/>
    <xf numFmtId="0" fontId="49" fillId="0" borderId="0" xfId="14" applyBorder="1" applyAlignment="1"/>
    <xf numFmtId="0" fontId="49" fillId="0" borderId="50" xfId="14" applyBorder="1" applyAlignment="1"/>
    <xf numFmtId="0" fontId="49" fillId="0" borderId="0" xfId="14" applyAlignment="1"/>
    <xf numFmtId="0" fontId="49" fillId="0" borderId="0" xfId="14" quotePrefix="1" applyBorder="1"/>
    <xf numFmtId="0" fontId="49" fillId="0" borderId="51" xfId="14" applyBorder="1"/>
    <xf numFmtId="0" fontId="44" fillId="0" borderId="46" xfId="14" applyFont="1" applyBorder="1"/>
    <xf numFmtId="0" fontId="49" fillId="0" borderId="46" xfId="14" quotePrefix="1" applyBorder="1" applyAlignment="1"/>
    <xf numFmtId="0" fontId="49" fillId="0" borderId="45" xfId="14" applyBorder="1"/>
    <xf numFmtId="0" fontId="49" fillId="0" borderId="0" xfId="14" quotePrefix="1" applyAlignment="1"/>
    <xf numFmtId="3" fontId="26" fillId="12" borderId="52" xfId="0" applyNumberFormat="1" applyFont="1" applyFill="1" applyBorder="1" applyAlignment="1" applyProtection="1">
      <alignment horizontal="center" vertical="center"/>
      <protection locked="0"/>
    </xf>
    <xf numFmtId="3" fontId="26" fillId="12" borderId="53" xfId="0" applyNumberFormat="1" applyFont="1" applyFill="1" applyBorder="1" applyAlignment="1" applyProtection="1">
      <alignment horizontal="center" vertical="center"/>
      <protection locked="0"/>
    </xf>
    <xf numFmtId="3" fontId="26" fillId="12" borderId="54" xfId="0" applyNumberFormat="1" applyFont="1" applyFill="1" applyBorder="1" applyAlignment="1" applyProtection="1">
      <alignment horizontal="center" vertical="center"/>
      <protection locked="0"/>
    </xf>
    <xf numFmtId="0" fontId="34"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26" fillId="15" borderId="15" xfId="0" applyNumberFormat="1" applyFont="1" applyFill="1" applyBorder="1" applyAlignment="1" applyProtection="1">
      <alignment vertical="center"/>
      <protection hidden="1"/>
    </xf>
    <xf numFmtId="0" fontId="26" fillId="15" borderId="16" xfId="0" applyNumberFormat="1" applyFont="1" applyFill="1" applyBorder="1" applyAlignment="1" applyProtection="1">
      <alignment vertical="center"/>
      <protection hidden="1"/>
    </xf>
    <xf numFmtId="0" fontId="26" fillId="15" borderId="17" xfId="0" applyNumberFormat="1" applyFont="1" applyFill="1" applyBorder="1" applyAlignment="1" applyProtection="1">
      <alignment vertical="center"/>
      <protection hidden="1"/>
    </xf>
    <xf numFmtId="0" fontId="10" fillId="0" borderId="0" xfId="0" applyFont="1" applyAlignment="1" applyProtection="1">
      <alignment vertical="center"/>
    </xf>
    <xf numFmtId="0" fontId="11" fillId="0" borderId="0" xfId="0" applyFont="1" applyAlignment="1" applyProtection="1">
      <alignment vertical="center"/>
    </xf>
    <xf numFmtId="0" fontId="5" fillId="0" borderId="0" xfId="0" applyFont="1" applyFill="1" applyBorder="1" applyAlignment="1" applyProtection="1">
      <alignment horizontal="left" vertical="top"/>
    </xf>
    <xf numFmtId="0" fontId="5" fillId="0" borderId="0" xfId="0" applyFont="1" applyFill="1" applyBorder="1" applyAlignment="1" applyProtection="1">
      <alignment vertical="top"/>
    </xf>
    <xf numFmtId="0" fontId="4" fillId="0" borderId="0" xfId="0" applyFont="1" applyFill="1" applyBorder="1" applyProtection="1"/>
    <xf numFmtId="0" fontId="0" fillId="0" borderId="0" xfId="0" applyProtection="1"/>
    <xf numFmtId="0" fontId="3" fillId="0" borderId="0"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4" fillId="0" borderId="0" xfId="0" applyFont="1" applyFill="1" applyBorder="1" applyAlignment="1" applyProtection="1">
      <alignment horizontal="left"/>
    </xf>
    <xf numFmtId="0" fontId="8" fillId="0" borderId="0" xfId="12" applyFont="1" applyFill="1" applyBorder="1" applyAlignment="1" applyProtection="1"/>
    <xf numFmtId="0" fontId="2" fillId="0" borderId="60" xfId="0" applyFont="1" applyFill="1" applyBorder="1" applyAlignment="1" applyProtection="1">
      <alignment horizontal="center" vertical="center" wrapText="1"/>
    </xf>
    <xf numFmtId="0" fontId="32" fillId="0" borderId="61" xfId="0" applyFont="1" applyFill="1" applyBorder="1" applyAlignment="1" applyProtection="1">
      <alignment horizontal="center" vertical="center"/>
    </xf>
    <xf numFmtId="0" fontId="32" fillId="0" borderId="62" xfId="0" applyFont="1" applyFill="1" applyBorder="1" applyAlignment="1" applyProtection="1">
      <alignment horizontal="center" vertical="top" wrapText="1"/>
    </xf>
    <xf numFmtId="0" fontId="3" fillId="0" borderId="0" xfId="0" applyFont="1" applyFill="1" applyBorder="1" applyAlignment="1" applyProtection="1">
      <alignment horizontal="center" vertical="center" wrapText="1"/>
    </xf>
    <xf numFmtId="0" fontId="8" fillId="0" borderId="0" xfId="12" applyFont="1" applyFill="1" applyBorder="1" applyAlignment="1" applyProtection="1">
      <alignment horizontal="center" vertical="center"/>
    </xf>
    <xf numFmtId="0" fontId="9" fillId="0" borderId="0" xfId="0" applyFont="1" applyFill="1" applyBorder="1" applyAlignment="1" applyProtection="1">
      <alignment horizontal="left"/>
    </xf>
    <xf numFmtId="0" fontId="9" fillId="0" borderId="0" xfId="0" applyFont="1" applyFill="1" applyBorder="1" applyAlignment="1" applyProtection="1"/>
    <xf numFmtId="0" fontId="9" fillId="0" borderId="0" xfId="0" applyFont="1" applyFill="1" applyBorder="1" applyAlignment="1" applyProtection="1">
      <alignment horizontal="center" vertical="center"/>
    </xf>
    <xf numFmtId="1"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49" fontId="9" fillId="0" borderId="0" xfId="0" applyNumberFormat="1" applyFont="1" applyFill="1" applyBorder="1" applyAlignment="1" applyProtection="1"/>
    <xf numFmtId="49" fontId="2" fillId="0" borderId="61" xfId="0" applyNumberFormat="1" applyFont="1" applyFill="1" applyBorder="1" applyAlignment="1" applyProtection="1">
      <alignment horizontal="center" vertical="center" wrapText="1"/>
    </xf>
    <xf numFmtId="49" fontId="2" fillId="0" borderId="31" xfId="0" applyNumberFormat="1" applyFont="1" applyBorder="1" applyAlignment="1" applyProtection="1">
      <alignment horizontal="center" vertical="center" wrapText="1"/>
    </xf>
    <xf numFmtId="49" fontId="2" fillId="12" borderId="63" xfId="0" applyNumberFormat="1" applyFont="1" applyFill="1" applyBorder="1" applyAlignment="1" applyProtection="1">
      <alignment horizontal="center" vertical="center" wrapText="1"/>
    </xf>
    <xf numFmtId="49" fontId="2" fillId="12" borderId="29" xfId="0" applyNumberFormat="1" applyFont="1" applyFill="1" applyBorder="1" applyAlignment="1" applyProtection="1">
      <alignment horizontal="center" vertical="center" wrapText="1"/>
    </xf>
    <xf numFmtId="1" fontId="2" fillId="12" borderId="29" xfId="0" applyNumberFormat="1" applyFont="1" applyFill="1" applyBorder="1" applyAlignment="1" applyProtection="1">
      <alignment horizontal="center" vertical="center" wrapText="1"/>
    </xf>
    <xf numFmtId="0" fontId="2" fillId="12" borderId="29" xfId="0" applyNumberFormat="1" applyFont="1" applyFill="1" applyBorder="1" applyAlignment="1" applyProtection="1">
      <alignment horizontal="center" vertical="center" wrapText="1"/>
    </xf>
    <xf numFmtId="0" fontId="4" fillId="12" borderId="29" xfId="0" applyFont="1" applyFill="1" applyBorder="1" applyAlignment="1" applyProtection="1"/>
    <xf numFmtId="49" fontId="29" fillId="12" borderId="43" xfId="0" applyNumberFormat="1" applyFont="1" applyFill="1" applyBorder="1" applyAlignment="1" applyProtection="1">
      <alignment horizontal="right" vertical="center"/>
    </xf>
    <xf numFmtId="0" fontId="4" fillId="0" borderId="0" xfId="0" applyFont="1" applyFill="1" applyBorder="1" applyAlignment="1" applyProtection="1">
      <alignment vertical="center" wrapText="1"/>
    </xf>
    <xf numFmtId="0" fontId="0" fillId="0" borderId="0" xfId="0" applyFill="1" applyAlignment="1" applyProtection="1">
      <alignment vertical="center" wrapText="1"/>
    </xf>
    <xf numFmtId="3" fontId="4" fillId="0" borderId="0" xfId="0" applyNumberFormat="1"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wrapText="1"/>
    </xf>
    <xf numFmtId="1" fontId="2" fillId="0" borderId="31" xfId="0" applyNumberFormat="1" applyFont="1" applyBorder="1" applyAlignment="1" applyProtection="1">
      <alignment horizontal="center" vertical="center" wrapText="1"/>
    </xf>
    <xf numFmtId="3" fontId="2" fillId="0" borderId="31" xfId="0" applyNumberFormat="1" applyFont="1" applyBorder="1" applyAlignment="1" applyProtection="1">
      <alignment horizontal="center" vertical="center" wrapText="1"/>
    </xf>
    <xf numFmtId="0" fontId="2" fillId="0" borderId="31" xfId="0" applyNumberFormat="1" applyFont="1" applyBorder="1" applyAlignment="1" applyProtection="1">
      <alignment horizontal="center" vertical="center" wrapText="1"/>
    </xf>
    <xf numFmtId="0" fontId="4" fillId="0" borderId="0" xfId="0" applyNumberFormat="1" applyFont="1" applyFill="1" applyBorder="1" applyAlignment="1" applyProtection="1">
      <alignment vertical="center"/>
    </xf>
    <xf numFmtId="0" fontId="22" fillId="0" borderId="0" xfId="0" applyNumberFormat="1" applyFont="1" applyAlignment="1" applyProtection="1">
      <alignment vertical="center"/>
    </xf>
    <xf numFmtId="0" fontId="3" fillId="0" borderId="0" xfId="0" applyNumberFormat="1" applyFont="1" applyFill="1" applyBorder="1" applyAlignment="1" applyProtection="1">
      <alignment vertical="center" wrapText="1"/>
    </xf>
    <xf numFmtId="3"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center"/>
    </xf>
    <xf numFmtId="0" fontId="3" fillId="0" borderId="66" xfId="0" applyNumberFormat="1" applyFont="1" applyFill="1" applyBorder="1" applyAlignment="1" applyProtection="1">
      <alignment vertical="center" wrapText="1"/>
    </xf>
    <xf numFmtId="3" fontId="29" fillId="12" borderId="63" xfId="0" applyNumberFormat="1" applyFont="1" applyFill="1" applyBorder="1" applyAlignment="1" applyProtection="1">
      <alignment vertical="center"/>
    </xf>
    <xf numFmtId="49" fontId="29" fillId="12" borderId="63" xfId="0" applyNumberFormat="1" applyFont="1" applyFill="1" applyBorder="1" applyAlignment="1" applyProtection="1">
      <alignment vertical="center"/>
    </xf>
    <xf numFmtId="49" fontId="29" fillId="12" borderId="67"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vertical="center" wrapText="1"/>
    </xf>
    <xf numFmtId="0" fontId="9" fillId="0" borderId="0" xfId="0" applyFont="1" applyFill="1" applyBorder="1" applyAlignment="1" applyProtection="1">
      <alignment horizontal="left" vertical="center"/>
    </xf>
    <xf numFmtId="0" fontId="9" fillId="0" borderId="0" xfId="0" applyFont="1" applyFill="1" applyBorder="1" applyAlignment="1" applyProtection="1">
      <alignment vertical="center"/>
    </xf>
    <xf numFmtId="3" fontId="9" fillId="0" borderId="0" xfId="0" applyNumberFormat="1" applyFont="1" applyFill="1" applyBorder="1" applyAlignment="1" applyProtection="1">
      <alignment vertical="center"/>
    </xf>
    <xf numFmtId="0" fontId="2" fillId="0" borderId="0" xfId="0" applyFont="1" applyAlignment="1" applyProtection="1">
      <alignment vertical="center"/>
    </xf>
    <xf numFmtId="49" fontId="9" fillId="0" borderId="0" xfId="0" applyNumberFormat="1" applyFont="1" applyFill="1" applyBorder="1" applyAlignment="1" applyProtection="1">
      <alignment vertical="center"/>
    </xf>
    <xf numFmtId="0" fontId="2" fillId="0" borderId="8" xfId="0" applyNumberFormat="1" applyFont="1" applyBorder="1" applyAlignment="1" applyProtection="1">
      <alignment horizontal="center" vertical="center" wrapText="1"/>
    </xf>
    <xf numFmtId="0" fontId="2" fillId="0" borderId="19" xfId="0" applyNumberFormat="1" applyFont="1" applyBorder="1" applyAlignment="1" applyProtection="1">
      <alignment horizontal="center" vertical="center" wrapText="1"/>
    </xf>
    <xf numFmtId="0" fontId="2" fillId="0" borderId="6" xfId="0" applyNumberFormat="1" applyFont="1" applyBorder="1" applyAlignment="1" applyProtection="1">
      <alignment horizontal="center" vertical="center" wrapText="1"/>
    </xf>
    <xf numFmtId="49" fontId="29" fillId="12" borderId="63" xfId="0" applyNumberFormat="1" applyFont="1" applyFill="1" applyBorder="1" applyAlignment="1" applyProtection="1">
      <alignment horizontal="center" vertical="center" wrapText="1"/>
    </xf>
    <xf numFmtId="49" fontId="29" fillId="12" borderId="29" xfId="0" applyNumberFormat="1" applyFont="1" applyFill="1" applyBorder="1" applyAlignment="1" applyProtection="1">
      <alignment horizontal="center" vertical="center" wrapText="1"/>
    </xf>
    <xf numFmtId="3" fontId="29" fillId="12" borderId="29" xfId="0" applyNumberFormat="1" applyFont="1" applyFill="1" applyBorder="1" applyAlignment="1" applyProtection="1">
      <alignment horizontal="center" vertical="center" wrapText="1"/>
    </xf>
    <xf numFmtId="3" fontId="29" fillId="12" borderId="29" xfId="0" applyNumberFormat="1" applyFont="1" applyFill="1" applyBorder="1" applyAlignment="1" applyProtection="1">
      <alignment vertical="center" wrapText="1"/>
    </xf>
    <xf numFmtId="49" fontId="2" fillId="0" borderId="31" xfId="0" applyNumberFormat="1" applyFont="1" applyFill="1" applyBorder="1" applyAlignment="1" applyProtection="1">
      <alignment horizontal="center" vertical="center" wrapText="1"/>
    </xf>
    <xf numFmtId="0" fontId="2" fillId="0" borderId="31" xfId="0" applyFont="1" applyFill="1" applyBorder="1" applyAlignment="1" applyProtection="1">
      <alignment horizontal="center" vertical="center" wrapText="1"/>
    </xf>
    <xf numFmtId="0" fontId="2" fillId="0" borderId="63" xfId="0" applyFont="1" applyFill="1" applyBorder="1" applyAlignment="1" applyProtection="1">
      <alignment horizontal="center" vertical="center" wrapText="1"/>
    </xf>
    <xf numFmtId="3" fontId="29" fillId="12" borderId="31" xfId="0" applyNumberFormat="1" applyFont="1" applyFill="1" applyBorder="1" applyAlignment="1" applyProtection="1">
      <alignment vertical="center" wrapText="1"/>
    </xf>
    <xf numFmtId="0" fontId="4" fillId="0" borderId="0" xfId="0" applyFont="1" applyFill="1" applyProtection="1"/>
    <xf numFmtId="49" fontId="29" fillId="12" borderId="29" xfId="0" applyNumberFormat="1" applyFont="1" applyFill="1" applyBorder="1" applyAlignment="1" applyProtection="1">
      <alignment vertical="center"/>
    </xf>
    <xf numFmtId="0" fontId="31" fillId="0" borderId="36" xfId="0" applyFont="1" applyBorder="1" applyAlignment="1" applyProtection="1">
      <alignment vertical="center"/>
    </xf>
    <xf numFmtId="0" fontId="31" fillId="0" borderId="38" xfId="0" applyFont="1" applyBorder="1" applyAlignment="1" applyProtection="1">
      <alignment vertical="center"/>
    </xf>
    <xf numFmtId="0" fontId="31" fillId="0" borderId="44" xfId="0" applyFont="1" applyBorder="1" applyAlignment="1" applyProtection="1">
      <alignment vertical="center"/>
    </xf>
    <xf numFmtId="0" fontId="31" fillId="0" borderId="19" xfId="0" applyFont="1" applyBorder="1" applyAlignment="1" applyProtection="1">
      <alignment vertical="center"/>
    </xf>
    <xf numFmtId="0" fontId="32" fillId="0" borderId="44" xfId="0" applyFont="1" applyBorder="1" applyAlignment="1" applyProtection="1">
      <alignment vertical="center"/>
    </xf>
    <xf numFmtId="0" fontId="32" fillId="0" borderId="19" xfId="0" applyFont="1" applyBorder="1" applyAlignment="1" applyProtection="1">
      <alignment vertical="center"/>
    </xf>
    <xf numFmtId="3" fontId="9" fillId="0" borderId="0" xfId="0" applyNumberFormat="1" applyFont="1" applyFill="1" applyBorder="1" applyAlignment="1" applyProtection="1"/>
    <xf numFmtId="3" fontId="26" fillId="15" borderId="20" xfId="0" applyNumberFormat="1" applyFont="1" applyFill="1" applyBorder="1" applyProtection="1">
      <protection hidden="1"/>
    </xf>
    <xf numFmtId="3" fontId="26" fillId="15" borderId="21" xfId="0" applyNumberFormat="1" applyFont="1" applyFill="1" applyBorder="1" applyProtection="1">
      <protection hidden="1"/>
    </xf>
    <xf numFmtId="3" fontId="26" fillId="15" borderId="22" xfId="0" applyNumberFormat="1" applyFont="1" applyFill="1" applyBorder="1" applyProtection="1">
      <protection hidden="1"/>
    </xf>
    <xf numFmtId="3" fontId="26" fillId="0" borderId="0" xfId="0" applyNumberFormat="1" applyFont="1" applyFill="1" applyBorder="1" applyAlignment="1" applyProtection="1">
      <protection hidden="1"/>
    </xf>
    <xf numFmtId="3" fontId="26" fillId="15" borderId="20" xfId="0" applyNumberFormat="1" applyFont="1" applyFill="1" applyBorder="1" applyAlignment="1" applyProtection="1">
      <alignment vertical="center"/>
      <protection hidden="1"/>
    </xf>
    <xf numFmtId="3" fontId="29" fillId="12" borderId="43" xfId="0" applyNumberFormat="1" applyFont="1" applyFill="1" applyBorder="1" applyAlignment="1" applyProtection="1">
      <alignment horizontal="right" vertical="center"/>
    </xf>
    <xf numFmtId="3" fontId="26" fillId="16" borderId="30" xfId="0" applyNumberFormat="1" applyFont="1" applyFill="1" applyBorder="1" applyAlignment="1" applyProtection="1">
      <alignment vertical="center"/>
      <protection locked="0"/>
    </xf>
    <xf numFmtId="3" fontId="26" fillId="16" borderId="27" xfId="0" applyNumberFormat="1" applyFont="1" applyFill="1" applyBorder="1" applyAlignment="1" applyProtection="1">
      <alignment vertical="center"/>
      <protection locked="0"/>
    </xf>
    <xf numFmtId="3" fontId="26" fillId="16" borderId="28" xfId="0" applyNumberFormat="1" applyFont="1" applyFill="1" applyBorder="1" applyAlignment="1" applyProtection="1">
      <alignment vertical="center"/>
      <protection locked="0"/>
    </xf>
    <xf numFmtId="3" fontId="29" fillId="15" borderId="60" xfId="0" applyNumberFormat="1" applyFont="1" applyFill="1" applyBorder="1" applyAlignment="1" applyProtection="1">
      <alignment vertical="center" wrapText="1"/>
      <protection hidden="1"/>
    </xf>
    <xf numFmtId="3" fontId="29" fillId="15" borderId="26" xfId="0" applyNumberFormat="1" applyFont="1" applyFill="1" applyBorder="1" applyAlignment="1" applyProtection="1">
      <alignment vertical="center" wrapText="1"/>
      <protection hidden="1"/>
    </xf>
    <xf numFmtId="3" fontId="26" fillId="12" borderId="75" xfId="0" applyNumberFormat="1" applyFont="1" applyFill="1" applyBorder="1" applyAlignment="1" applyProtection="1">
      <alignment vertical="center"/>
      <protection hidden="1"/>
    </xf>
    <xf numFmtId="3" fontId="26" fillId="12" borderId="0" xfId="0" applyNumberFormat="1" applyFont="1" applyFill="1" applyBorder="1" applyAlignment="1" applyProtection="1">
      <alignment vertical="center"/>
      <protection hidden="1"/>
    </xf>
    <xf numFmtId="3" fontId="26" fillId="15" borderId="14" xfId="0" applyNumberFormat="1" applyFont="1" applyFill="1" applyBorder="1" applyAlignment="1" applyProtection="1">
      <alignment vertical="center"/>
      <protection hidden="1"/>
    </xf>
    <xf numFmtId="3" fontId="26" fillId="15" borderId="11" xfId="0" applyNumberFormat="1" applyFont="1" applyFill="1" applyBorder="1" applyAlignment="1" applyProtection="1">
      <alignment vertical="center"/>
      <protection hidden="1"/>
    </xf>
    <xf numFmtId="3" fontId="26" fillId="15" borderId="44" xfId="0" applyNumberFormat="1" applyFont="1" applyFill="1" applyBorder="1" applyAlignment="1" applyProtection="1">
      <alignment vertical="center"/>
      <protection hidden="1"/>
    </xf>
    <xf numFmtId="3" fontId="26" fillId="15" borderId="5" xfId="0" applyNumberFormat="1" applyFont="1" applyFill="1" applyBorder="1" applyAlignment="1" applyProtection="1">
      <alignment vertical="center"/>
      <protection hidden="1"/>
    </xf>
    <xf numFmtId="3" fontId="26" fillId="15" borderId="7" xfId="0" applyNumberFormat="1" applyFont="1" applyFill="1" applyBorder="1" applyAlignment="1" applyProtection="1">
      <alignment vertical="center"/>
      <protection hidden="1"/>
    </xf>
    <xf numFmtId="3" fontId="26" fillId="15" borderId="18" xfId="0" applyNumberFormat="1" applyFont="1" applyFill="1" applyBorder="1" applyAlignment="1" applyProtection="1">
      <alignment vertical="center"/>
      <protection hidden="1"/>
    </xf>
    <xf numFmtId="3" fontId="26" fillId="15" borderId="6" xfId="0" applyNumberFormat="1" applyFont="1" applyFill="1" applyBorder="1" applyAlignment="1" applyProtection="1">
      <alignment vertical="center"/>
      <protection hidden="1"/>
    </xf>
    <xf numFmtId="3" fontId="26" fillId="15" borderId="8" xfId="0" applyNumberFormat="1" applyFont="1" applyFill="1" applyBorder="1" applyAlignment="1" applyProtection="1">
      <alignment vertical="center"/>
      <protection hidden="1"/>
    </xf>
    <xf numFmtId="3" fontId="26" fillId="15" borderId="19" xfId="0" applyNumberFormat="1" applyFont="1" applyFill="1" applyBorder="1" applyAlignment="1" applyProtection="1">
      <alignment vertical="center"/>
      <protection hidden="1"/>
    </xf>
    <xf numFmtId="0" fontId="29" fillId="12" borderId="63" xfId="0" applyFont="1" applyFill="1" applyBorder="1" applyAlignment="1" applyProtection="1">
      <protection hidden="1"/>
    </xf>
    <xf numFmtId="0" fontId="32" fillId="0" borderId="67" xfId="0" applyFont="1" applyFill="1" applyBorder="1" applyAlignment="1" applyProtection="1">
      <alignment horizontal="center" vertical="top" wrapText="1"/>
    </xf>
    <xf numFmtId="0" fontId="29" fillId="12" borderId="29" xfId="0" applyFont="1" applyFill="1" applyBorder="1" applyAlignment="1" applyProtection="1">
      <alignment horizontal="right" vertical="center"/>
      <protection hidden="1"/>
    </xf>
    <xf numFmtId="3" fontId="26" fillId="15" borderId="76" xfId="0" applyNumberFormat="1" applyFont="1" applyFill="1" applyBorder="1" applyProtection="1">
      <protection hidden="1"/>
    </xf>
    <xf numFmtId="3" fontId="26" fillId="12" borderId="76" xfId="0" applyNumberFormat="1" applyFont="1" applyFill="1" applyBorder="1" applyProtection="1">
      <protection hidden="1"/>
    </xf>
    <xf numFmtId="3" fontId="26" fillId="12" borderId="77" xfId="0" applyNumberFormat="1" applyFont="1" applyFill="1" applyBorder="1" applyProtection="1">
      <protection hidden="1"/>
    </xf>
    <xf numFmtId="0" fontId="2" fillId="0" borderId="60" xfId="0" applyFont="1" applyFill="1" applyBorder="1" applyAlignment="1" applyProtection="1">
      <alignment horizontal="center" vertical="top" wrapText="1"/>
    </xf>
    <xf numFmtId="3" fontId="29" fillId="15" borderId="31" xfId="0" applyNumberFormat="1" applyFont="1" applyFill="1" applyBorder="1" applyProtection="1">
      <protection hidden="1"/>
    </xf>
    <xf numFmtId="0" fontId="26" fillId="12" borderId="21" xfId="0" applyFont="1" applyFill="1" applyBorder="1" applyProtection="1">
      <protection hidden="1"/>
    </xf>
    <xf numFmtId="0" fontId="26" fillId="12" borderId="22" xfId="0" applyFont="1" applyFill="1" applyBorder="1" applyProtection="1">
      <protection hidden="1"/>
    </xf>
    <xf numFmtId="3" fontId="29" fillId="15" borderId="22" xfId="0" applyNumberFormat="1" applyFont="1" applyFill="1" applyBorder="1" applyAlignment="1" applyProtection="1">
      <alignment horizontal="right" vertical="center"/>
      <protection hidden="1"/>
    </xf>
    <xf numFmtId="3" fontId="29" fillId="15" borderId="65" xfId="0" applyNumberFormat="1" applyFont="1" applyFill="1" applyBorder="1" applyAlignment="1" applyProtection="1">
      <alignment horizontal="right" vertical="center"/>
      <protection hidden="1"/>
    </xf>
    <xf numFmtId="0" fontId="42" fillId="0" borderId="4" xfId="14" applyFont="1" applyFill="1" applyBorder="1" applyAlignment="1" applyProtection="1">
      <alignment horizontal="center" vertical="center"/>
      <protection locked="0"/>
    </xf>
    <xf numFmtId="0" fontId="49" fillId="0" borderId="4" xfId="14" applyFill="1" applyBorder="1" applyProtection="1">
      <protection locked="0"/>
    </xf>
    <xf numFmtId="0" fontId="49" fillId="0" borderId="4" xfId="14" applyBorder="1" applyProtection="1">
      <protection locked="0"/>
    </xf>
    <xf numFmtId="0" fontId="43" fillId="18" borderId="4" xfId="14" applyFont="1" applyFill="1" applyBorder="1" applyProtection="1"/>
    <xf numFmtId="0" fontId="10" fillId="0" borderId="63" xfId="0" applyFont="1" applyBorder="1" applyAlignment="1" applyProtection="1">
      <alignment vertical="center"/>
    </xf>
    <xf numFmtId="0" fontId="10" fillId="0" borderId="63" xfId="0" applyNumberFormat="1" applyFont="1" applyBorder="1" applyAlignment="1" applyProtection="1">
      <alignment vertical="center"/>
    </xf>
    <xf numFmtId="0" fontId="10" fillId="14" borderId="63" xfId="0" applyNumberFormat="1" applyFont="1" applyFill="1" applyBorder="1" applyAlignment="1" applyProtection="1">
      <alignment vertical="center"/>
      <protection locked="0" hidden="1"/>
    </xf>
    <xf numFmtId="0" fontId="48" fillId="0" borderId="0" xfId="0" applyFont="1" applyAlignment="1" applyProtection="1">
      <alignment vertical="center"/>
    </xf>
    <xf numFmtId="0" fontId="48" fillId="0" borderId="0" xfId="0" applyFont="1" applyAlignment="1" applyProtection="1">
      <alignment vertical="center"/>
      <protection hidden="1"/>
    </xf>
    <xf numFmtId="0" fontId="10" fillId="0" borderId="0" xfId="0" applyFont="1" applyAlignment="1" applyProtection="1">
      <alignment vertical="center"/>
      <protection hidden="1"/>
    </xf>
    <xf numFmtId="3" fontId="21" fillId="0" borderId="0" xfId="0" applyNumberFormat="1" applyFont="1" applyFill="1" applyBorder="1" applyAlignment="1" applyProtection="1">
      <alignment vertical="center"/>
      <protection hidden="1"/>
    </xf>
    <xf numFmtId="0" fontId="10" fillId="0" borderId="79" xfId="0" applyFont="1" applyBorder="1" applyAlignment="1" applyProtection="1">
      <alignment vertical="center"/>
    </xf>
    <xf numFmtId="0" fontId="10" fillId="20" borderId="43" xfId="0" applyNumberFormat="1" applyFont="1" applyFill="1" applyBorder="1" applyAlignment="1" applyProtection="1">
      <alignment vertical="center"/>
      <protection hidden="1"/>
    </xf>
    <xf numFmtId="164" fontId="10" fillId="15" borderId="31" xfId="0" applyNumberFormat="1" applyFont="1" applyFill="1" applyBorder="1" applyAlignment="1" applyProtection="1">
      <alignment vertical="center" shrinkToFit="1"/>
      <protection hidden="1"/>
    </xf>
    <xf numFmtId="0" fontId="10" fillId="0" borderId="31" xfId="0" applyFont="1" applyBorder="1" applyAlignment="1" applyProtection="1">
      <alignment vertical="center"/>
      <protection hidden="1"/>
    </xf>
    <xf numFmtId="164" fontId="10" fillId="15" borderId="31" xfId="0" applyNumberFormat="1" applyFont="1" applyFill="1" applyBorder="1" applyAlignment="1" applyProtection="1">
      <alignment vertical="center"/>
      <protection hidden="1"/>
    </xf>
    <xf numFmtId="0" fontId="21" fillId="0" borderId="33" xfId="0" applyFont="1" applyBorder="1" applyAlignment="1" applyProtection="1">
      <alignment vertical="center"/>
      <protection hidden="1"/>
    </xf>
    <xf numFmtId="14" fontId="10" fillId="15" borderId="31" xfId="0" applyNumberFormat="1" applyFont="1" applyFill="1" applyBorder="1" applyAlignment="1" applyProtection="1">
      <alignment vertical="center"/>
      <protection hidden="1"/>
    </xf>
    <xf numFmtId="0" fontId="21" fillId="0" borderId="0" xfId="0" applyFont="1" applyBorder="1" applyAlignment="1" applyProtection="1">
      <alignment vertical="center"/>
      <protection hidden="1"/>
    </xf>
    <xf numFmtId="14" fontId="10" fillId="0" borderId="87" xfId="0" applyNumberFormat="1" applyFont="1" applyFill="1" applyBorder="1" applyAlignment="1" applyProtection="1">
      <alignment vertical="center"/>
      <protection locked="0" hidden="1"/>
    </xf>
    <xf numFmtId="3" fontId="32" fillId="0" borderId="15" xfId="0" applyNumberFormat="1" applyFont="1" applyBorder="1" applyAlignment="1" applyProtection="1">
      <alignment horizontal="right" vertical="center"/>
    </xf>
    <xf numFmtId="3" fontId="32" fillId="0" borderId="17" xfId="0" applyNumberFormat="1" applyFont="1" applyBorder="1" applyAlignment="1" applyProtection="1">
      <alignment horizontal="right" vertical="center"/>
    </xf>
    <xf numFmtId="3" fontId="26" fillId="16" borderId="52" xfId="0" applyNumberFormat="1" applyFont="1" applyFill="1" applyBorder="1" applyAlignment="1" applyProtection="1">
      <alignment vertical="center"/>
      <protection locked="0"/>
    </xf>
    <xf numFmtId="3" fontId="26" fillId="16" borderId="53" xfId="0" applyNumberFormat="1" applyFont="1" applyFill="1" applyBorder="1" applyAlignment="1" applyProtection="1">
      <alignment vertical="center"/>
      <protection locked="0"/>
    </xf>
    <xf numFmtId="3" fontId="26" fillId="16" borderId="54" xfId="0" applyNumberFormat="1" applyFont="1" applyFill="1" applyBorder="1" applyAlignment="1" applyProtection="1">
      <alignment vertical="center"/>
      <protection locked="0"/>
    </xf>
    <xf numFmtId="0" fontId="2" fillId="0" borderId="8" xfId="0" applyNumberFormat="1" applyFont="1" applyFill="1" applyBorder="1" applyAlignment="1" applyProtection="1">
      <alignment horizontal="center" vertical="center" wrapText="1"/>
    </xf>
    <xf numFmtId="0" fontId="27" fillId="24" borderId="0" xfId="0" applyFont="1" applyFill="1" applyBorder="1" applyAlignment="1">
      <alignment vertical="center"/>
    </xf>
    <xf numFmtId="0" fontId="27" fillId="23" borderId="48" xfId="0" applyFont="1" applyFill="1" applyBorder="1" applyAlignment="1">
      <alignment vertical="center"/>
    </xf>
    <xf numFmtId="0" fontId="27" fillId="22" borderId="46" xfId="0" applyFont="1" applyFill="1" applyBorder="1" applyAlignment="1">
      <alignment vertical="center"/>
    </xf>
    <xf numFmtId="0" fontId="27" fillId="0" borderId="0" xfId="0" applyFont="1" applyBorder="1" applyAlignment="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protection hidden="1"/>
    </xf>
    <xf numFmtId="0" fontId="2" fillId="0" borderId="0" xfId="0" applyFont="1" applyFill="1" applyBorder="1" applyAlignment="1" applyProtection="1">
      <alignment horizontal="center" vertical="center" wrapText="1"/>
    </xf>
    <xf numFmtId="0" fontId="4" fillId="0" borderId="47" xfId="0" applyFont="1" applyFill="1" applyBorder="1" applyAlignment="1" applyProtection="1">
      <alignment horizontal="center" vertical="center" wrapText="1"/>
    </xf>
    <xf numFmtId="0" fontId="4" fillId="0" borderId="41" xfId="12" applyFont="1" applyFill="1" applyBorder="1" applyAlignment="1" applyProtection="1">
      <alignment horizontal="center" vertical="center" wrapText="1"/>
    </xf>
    <xf numFmtId="0" fontId="4" fillId="0" borderId="41" xfId="0" applyFont="1" applyFill="1" applyBorder="1" applyAlignment="1" applyProtection="1">
      <alignment horizontal="center" vertical="center" wrapText="1"/>
    </xf>
    <xf numFmtId="0" fontId="4" fillId="0" borderId="64" xfId="0" applyFont="1" applyFill="1" applyBorder="1" applyAlignment="1" applyProtection="1">
      <alignment horizontal="center" vertical="center" wrapText="1"/>
    </xf>
    <xf numFmtId="0" fontId="29" fillId="12" borderId="36" xfId="0" applyFont="1" applyFill="1" applyBorder="1" applyAlignment="1" applyProtection="1">
      <alignment vertical="center" wrapText="1"/>
    </xf>
    <xf numFmtId="0" fontId="26" fillId="12" borderId="44" xfId="0" applyFont="1" applyFill="1" applyBorder="1" applyAlignment="1" applyProtection="1">
      <alignment vertical="center"/>
    </xf>
    <xf numFmtId="0" fontId="29" fillId="12" borderId="15" xfId="0" applyFont="1" applyFill="1" applyBorder="1" applyAlignment="1" applyProtection="1">
      <alignment horizontal="right" vertical="center" wrapText="1"/>
    </xf>
    <xf numFmtId="3" fontId="29" fillId="13" borderId="36" xfId="0" applyNumberFormat="1" applyFont="1" applyFill="1" applyBorder="1" applyAlignment="1" applyProtection="1">
      <alignment vertical="center"/>
      <protection hidden="1"/>
    </xf>
    <xf numFmtId="3" fontId="29" fillId="13" borderId="13" xfId="0" applyNumberFormat="1" applyFont="1" applyFill="1" applyBorder="1" applyAlignment="1" applyProtection="1">
      <alignment vertical="center"/>
      <protection hidden="1"/>
    </xf>
    <xf numFmtId="3" fontId="26" fillId="15" borderId="13" xfId="0" applyNumberFormat="1" applyFont="1" applyFill="1" applyBorder="1" applyAlignment="1" applyProtection="1">
      <alignment vertical="center"/>
      <protection hidden="1"/>
    </xf>
    <xf numFmtId="3" fontId="29" fillId="13" borderId="14" xfId="0" applyNumberFormat="1" applyFont="1" applyFill="1" applyBorder="1" applyAlignment="1" applyProtection="1">
      <alignment vertical="center"/>
      <protection hidden="1"/>
    </xf>
    <xf numFmtId="0" fontId="29" fillId="12" borderId="38" xfId="0" applyFont="1" applyFill="1" applyBorder="1" applyAlignment="1" applyProtection="1">
      <alignment vertical="center" wrapText="1"/>
    </xf>
    <xf numFmtId="0" fontId="29" fillId="12" borderId="19" xfId="0" applyFont="1" applyFill="1" applyBorder="1" applyAlignment="1" applyProtection="1">
      <alignment vertical="center"/>
    </xf>
    <xf numFmtId="0" fontId="29" fillId="12" borderId="65" xfId="0" applyFont="1" applyFill="1" applyBorder="1" applyAlignment="1" applyProtection="1">
      <alignment horizontal="right" vertical="center" wrapText="1"/>
    </xf>
    <xf numFmtId="3" fontId="29" fillId="13" borderId="22" xfId="0" applyNumberFormat="1" applyFont="1" applyFill="1" applyBorder="1" applyAlignment="1" applyProtection="1">
      <alignment vertical="center"/>
      <protection hidden="1"/>
    </xf>
    <xf numFmtId="3" fontId="29" fillId="15" borderId="38" xfId="0" applyNumberFormat="1" applyFont="1" applyFill="1" applyBorder="1" applyAlignment="1" applyProtection="1">
      <alignment vertical="center"/>
      <protection hidden="1"/>
    </xf>
    <xf numFmtId="3" fontId="29" fillId="13" borderId="8" xfId="0" applyNumberFormat="1" applyFont="1" applyFill="1" applyBorder="1" applyAlignment="1" applyProtection="1">
      <alignment vertical="center"/>
      <protection hidden="1"/>
    </xf>
    <xf numFmtId="3" fontId="29" fillId="13" borderId="3" xfId="0" applyNumberFormat="1" applyFont="1" applyFill="1" applyBorder="1" applyAlignment="1" applyProtection="1">
      <alignment vertical="center"/>
      <protection hidden="1"/>
    </xf>
    <xf numFmtId="3" fontId="29" fillId="15" borderId="3" xfId="0" applyNumberFormat="1" applyFont="1" applyFill="1" applyBorder="1" applyAlignment="1" applyProtection="1">
      <alignment vertical="center"/>
      <protection hidden="1"/>
    </xf>
    <xf numFmtId="3" fontId="29" fillId="15" borderId="6" xfId="0" applyNumberFormat="1" applyFont="1" applyFill="1" applyBorder="1" applyAlignment="1" applyProtection="1">
      <alignment vertical="center"/>
      <protection hidden="1"/>
    </xf>
    <xf numFmtId="0" fontId="29" fillId="0" borderId="0" xfId="0" applyFont="1" applyFill="1" applyBorder="1" applyAlignment="1" applyProtection="1">
      <alignment vertical="center"/>
      <protection hidden="1"/>
    </xf>
    <xf numFmtId="0" fontId="29" fillId="14" borderId="20" xfId="0" applyFont="1" applyFill="1" applyBorder="1" applyAlignment="1" applyProtection="1">
      <alignment horizontal="left" vertical="center"/>
      <protection locked="0" hidden="1"/>
    </xf>
    <xf numFmtId="0" fontId="26" fillId="15" borderId="32" xfId="0" applyFont="1" applyFill="1" applyBorder="1" applyAlignment="1" applyProtection="1">
      <alignment vertical="center"/>
      <protection hidden="1"/>
    </xf>
    <xf numFmtId="49" fontId="0" fillId="16" borderId="30" xfId="0" applyNumberFormat="1" applyFont="1" applyFill="1" applyBorder="1" applyAlignment="1" applyProtection="1">
      <alignment vertical="center"/>
      <protection locked="0"/>
    </xf>
    <xf numFmtId="3" fontId="26" fillId="15" borderId="15" xfId="0" applyNumberFormat="1" applyFont="1" applyFill="1" applyBorder="1" applyAlignment="1" applyProtection="1">
      <alignment vertical="center"/>
      <protection hidden="1"/>
    </xf>
    <xf numFmtId="3" fontId="26" fillId="0" borderId="68" xfId="0" applyNumberFormat="1" applyFont="1" applyFill="1" applyBorder="1" applyAlignment="1" applyProtection="1">
      <alignment vertical="center"/>
      <protection locked="0"/>
    </xf>
    <xf numFmtId="3" fontId="26" fillId="15" borderId="69" xfId="0" applyNumberFormat="1" applyFont="1" applyFill="1" applyBorder="1" applyAlignment="1" applyProtection="1">
      <alignment vertical="center"/>
      <protection hidden="1"/>
    </xf>
    <xf numFmtId="3" fontId="26" fillId="0" borderId="70" xfId="0" applyNumberFormat="1" applyFont="1" applyFill="1" applyBorder="1" applyAlignment="1" applyProtection="1">
      <alignment vertical="center"/>
      <protection locked="0"/>
    </xf>
    <xf numFmtId="3" fontId="26" fillId="15" borderId="24" xfId="0" applyNumberFormat="1" applyFont="1" applyFill="1" applyBorder="1" applyAlignment="1" applyProtection="1">
      <alignment vertical="center"/>
      <protection hidden="1"/>
    </xf>
    <xf numFmtId="0" fontId="29" fillId="14" borderId="21" xfId="0" applyFont="1" applyFill="1" applyBorder="1" applyAlignment="1" applyProtection="1">
      <alignment horizontal="left" vertical="center"/>
      <protection locked="0" hidden="1"/>
    </xf>
    <xf numFmtId="0" fontId="26" fillId="15" borderId="21" xfId="0" applyFont="1" applyFill="1" applyBorder="1" applyAlignment="1" applyProtection="1">
      <alignment vertical="center"/>
      <protection hidden="1"/>
    </xf>
    <xf numFmtId="49" fontId="26" fillId="16" borderId="27" xfId="0" applyNumberFormat="1" applyFont="1" applyFill="1" applyBorder="1" applyAlignment="1" applyProtection="1">
      <alignment vertical="center"/>
      <protection locked="0"/>
    </xf>
    <xf numFmtId="3" fontId="26" fillId="15" borderId="16" xfId="0" applyNumberFormat="1" applyFont="1" applyFill="1" applyBorder="1" applyAlignment="1" applyProtection="1">
      <alignment vertical="center"/>
      <protection hidden="1"/>
    </xf>
    <xf numFmtId="3" fontId="26" fillId="0" borderId="71" xfId="0" applyNumberFormat="1" applyFont="1" applyFill="1" applyBorder="1" applyAlignment="1" applyProtection="1">
      <alignment vertical="center"/>
      <protection locked="0"/>
    </xf>
    <xf numFmtId="3" fontId="26" fillId="15" borderId="4" xfId="0" applyNumberFormat="1" applyFont="1" applyFill="1" applyBorder="1" applyAlignment="1" applyProtection="1">
      <alignment vertical="center"/>
      <protection hidden="1"/>
    </xf>
    <xf numFmtId="3" fontId="26" fillId="0" borderId="72" xfId="0" applyNumberFormat="1" applyFont="1" applyFill="1" applyBorder="1" applyAlignment="1" applyProtection="1">
      <alignment vertical="center"/>
      <protection locked="0"/>
    </xf>
    <xf numFmtId="49" fontId="20" fillId="16" borderId="27" xfId="0" applyNumberFormat="1" applyFont="1" applyFill="1" applyBorder="1" applyAlignment="1" applyProtection="1">
      <alignment vertical="center"/>
      <protection locked="0"/>
    </xf>
    <xf numFmtId="0" fontId="29" fillId="14" borderId="22" xfId="0" applyFont="1" applyFill="1" applyBorder="1" applyAlignment="1" applyProtection="1">
      <alignment horizontal="left" vertical="center"/>
      <protection locked="0" hidden="1"/>
    </xf>
    <xf numFmtId="49" fontId="26" fillId="16" borderId="28" xfId="0" applyNumberFormat="1" applyFont="1" applyFill="1" applyBorder="1" applyAlignment="1" applyProtection="1">
      <alignment vertical="center"/>
      <protection locked="0"/>
    </xf>
    <xf numFmtId="3" fontId="26" fillId="15" borderId="17" xfId="0" applyNumberFormat="1" applyFont="1" applyFill="1" applyBorder="1" applyAlignment="1" applyProtection="1">
      <alignment vertical="center"/>
      <protection hidden="1"/>
    </xf>
    <xf numFmtId="3" fontId="26" fillId="0" borderId="73" xfId="0" applyNumberFormat="1" applyFont="1" applyFill="1" applyBorder="1" applyAlignment="1" applyProtection="1">
      <alignment vertical="center"/>
      <protection locked="0"/>
    </xf>
    <xf numFmtId="3" fontId="26" fillId="15" borderId="3" xfId="0" applyNumberFormat="1" applyFont="1" applyFill="1" applyBorder="1" applyAlignment="1" applyProtection="1">
      <alignment vertical="center"/>
      <protection hidden="1"/>
    </xf>
    <xf numFmtId="3" fontId="26" fillId="0" borderId="74" xfId="0" applyNumberFormat="1" applyFont="1" applyFill="1" applyBorder="1" applyAlignment="1" applyProtection="1">
      <alignment vertical="center"/>
      <protection locked="0"/>
    </xf>
    <xf numFmtId="0" fontId="35" fillId="0" borderId="0" xfId="12" applyFont="1" applyFill="1" applyBorder="1" applyAlignment="1" applyProtection="1">
      <alignment horizontal="left" vertical="center"/>
      <protection hidden="1"/>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0" fontId="2" fillId="0" borderId="0" xfId="0" applyFont="1" applyFill="1" applyBorder="1" applyAlignment="1" applyProtection="1">
      <alignment vertical="center" wrapText="1"/>
      <protection hidden="1"/>
    </xf>
    <xf numFmtId="0" fontId="6" fillId="0" borderId="55" xfId="12" applyBorder="1" applyAlignment="1" applyProtection="1">
      <alignment vertical="top"/>
    </xf>
    <xf numFmtId="3" fontId="26" fillId="15" borderId="39" xfId="0" applyNumberFormat="1" applyFont="1" applyFill="1" applyBorder="1" applyAlignment="1" applyProtection="1">
      <alignment vertical="center"/>
      <protection hidden="1"/>
    </xf>
    <xf numFmtId="3" fontId="26" fillId="15" borderId="76" xfId="0" applyNumberFormat="1" applyFont="1" applyFill="1" applyBorder="1" applyAlignment="1" applyProtection="1">
      <alignment vertical="center"/>
      <protection hidden="1"/>
    </xf>
    <xf numFmtId="3" fontId="26" fillId="15" borderId="77" xfId="0" applyNumberFormat="1" applyFont="1" applyFill="1" applyBorder="1" applyAlignment="1" applyProtection="1">
      <alignment vertical="center"/>
      <protection hidden="1"/>
    </xf>
    <xf numFmtId="3" fontId="29" fillId="15" borderId="86" xfId="0" applyNumberFormat="1" applyFont="1" applyFill="1" applyBorder="1" applyAlignment="1" applyProtection="1">
      <alignment vertical="center" wrapText="1"/>
      <protection hidden="1"/>
    </xf>
    <xf numFmtId="3" fontId="26" fillId="15" borderId="69" xfId="0" applyNumberFormat="1" applyFont="1" applyFill="1" applyBorder="1" applyProtection="1">
      <protection hidden="1"/>
    </xf>
    <xf numFmtId="3" fontId="26" fillId="15" borderId="51" xfId="0" applyNumberFormat="1" applyFont="1" applyFill="1" applyBorder="1" applyProtection="1">
      <protection hidden="1"/>
    </xf>
    <xf numFmtId="3" fontId="26" fillId="15" borderId="32" xfId="0" applyNumberFormat="1" applyFont="1" applyFill="1" applyBorder="1" applyProtection="1">
      <protection hidden="1"/>
    </xf>
    <xf numFmtId="0" fontId="31" fillId="0" borderId="0" xfId="0" applyFont="1"/>
    <xf numFmtId="0" fontId="27" fillId="0" borderId="0" xfId="0" applyFont="1" applyAlignment="1">
      <alignment vertical="center"/>
    </xf>
    <xf numFmtId="0" fontId="30" fillId="0" borderId="43" xfId="0" applyFont="1" applyBorder="1" applyAlignment="1">
      <alignment horizontal="center" vertical="center" wrapText="1"/>
    </xf>
    <xf numFmtId="0" fontId="31" fillId="0" borderId="11" xfId="0" applyFont="1" applyBorder="1" applyAlignment="1">
      <alignment vertical="center"/>
    </xf>
    <xf numFmtId="0" fontId="32" fillId="0" borderId="39" xfId="0" applyFont="1" applyBorder="1" applyAlignment="1">
      <alignment horizontal="center" vertical="center" wrapText="1"/>
    </xf>
    <xf numFmtId="0" fontId="55" fillId="0" borderId="56" xfId="0" applyFont="1" applyBorder="1" applyAlignment="1">
      <alignment horizontal="center" vertical="center"/>
    </xf>
    <xf numFmtId="0" fontId="55" fillId="0" borderId="57" xfId="0" applyFont="1" applyBorder="1" applyAlignment="1">
      <alignment horizontal="center" vertical="center" wrapText="1"/>
    </xf>
    <xf numFmtId="0" fontId="55" fillId="0" borderId="58" xfId="0" applyFont="1" applyBorder="1" applyAlignment="1">
      <alignment horizontal="center" vertical="center" wrapText="1"/>
    </xf>
    <xf numFmtId="0" fontId="55" fillId="0" borderId="58" xfId="0" applyFont="1" applyBorder="1" applyAlignment="1">
      <alignment horizontal="center" vertical="center"/>
    </xf>
    <xf numFmtId="0" fontId="55" fillId="0" borderId="59" xfId="0" applyFont="1" applyBorder="1" applyAlignment="1">
      <alignment horizontal="center" vertical="center"/>
    </xf>
    <xf numFmtId="0" fontId="27" fillId="0" borderId="43" xfId="0" applyFont="1" applyBorder="1" applyAlignment="1">
      <alignment horizontal="center" vertical="center"/>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0" xfId="0" applyFont="1" applyAlignment="1">
      <alignment horizontal="center" vertical="center"/>
    </xf>
    <xf numFmtId="0" fontId="31" fillId="0" borderId="40" xfId="0" applyFont="1" applyBorder="1" applyAlignment="1">
      <alignment horizontal="center" vertical="center"/>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0" fontId="27" fillId="0" borderId="23" xfId="0" applyFont="1" applyBorder="1" applyAlignment="1">
      <alignment vertical="center" wrapText="1"/>
    </xf>
    <xf numFmtId="0" fontId="31" fillId="0" borderId="24" xfId="0" applyFont="1" applyBorder="1" applyAlignment="1">
      <alignment vertical="center"/>
    </xf>
    <xf numFmtId="0" fontId="31" fillId="0" borderId="26" xfId="0" applyFont="1" applyBorder="1" applyAlignment="1">
      <alignment vertical="center"/>
    </xf>
    <xf numFmtId="0" fontId="27" fillId="0" borderId="15" xfId="0" applyFont="1" applyBorder="1" applyAlignment="1">
      <alignment horizontal="center" vertical="center"/>
    </xf>
    <xf numFmtId="3" fontId="27" fillId="0" borderId="12" xfId="0" applyNumberFormat="1" applyFont="1" applyFill="1" applyBorder="1" applyAlignment="1">
      <alignment horizontal="right" vertical="center" wrapText="1"/>
    </xf>
    <xf numFmtId="3" fontId="27" fillId="0" borderId="13" xfId="0" applyNumberFormat="1" applyFont="1" applyFill="1" applyBorder="1" applyAlignment="1">
      <alignment horizontal="right" vertical="center" wrapText="1"/>
    </xf>
    <xf numFmtId="3" fontId="27" fillId="0" borderId="14" xfId="0" applyNumberFormat="1" applyFont="1" applyFill="1" applyBorder="1" applyAlignment="1">
      <alignment horizontal="right" vertical="center" wrapText="1"/>
    </xf>
    <xf numFmtId="49" fontId="27" fillId="0" borderId="23" xfId="0" applyNumberFormat="1" applyFont="1" applyBorder="1" applyAlignment="1">
      <alignment horizontal="center" vertical="center"/>
    </xf>
    <xf numFmtId="3" fontId="27" fillId="0" borderId="24" xfId="0" applyNumberFormat="1" applyFont="1" applyBorder="1" applyAlignment="1">
      <alignment horizontal="center" vertical="center"/>
    </xf>
    <xf numFmtId="0" fontId="31" fillId="0" borderId="13" xfId="0" applyFont="1" applyBorder="1" applyAlignment="1">
      <alignment vertical="center"/>
    </xf>
    <xf numFmtId="0" fontId="31" fillId="0" borderId="14" xfId="0" applyFont="1" applyBorder="1" applyAlignment="1">
      <alignment vertical="center"/>
    </xf>
    <xf numFmtId="0" fontId="27" fillId="0" borderId="10" xfId="0" applyFont="1" applyBorder="1" applyAlignment="1">
      <alignment vertical="center" wrapText="1"/>
    </xf>
    <xf numFmtId="0" fontId="31" fillId="0" borderId="6" xfId="0" applyFont="1" applyBorder="1" applyAlignment="1">
      <alignment vertical="center"/>
    </xf>
    <xf numFmtId="0" fontId="27" fillId="0" borderId="0" xfId="0" applyFont="1" applyAlignment="1">
      <alignment vertical="center" wrapText="1"/>
    </xf>
    <xf numFmtId="0" fontId="27" fillId="0" borderId="16" xfId="0" applyFont="1" applyBorder="1" applyAlignment="1">
      <alignment horizontal="center" vertical="center"/>
    </xf>
    <xf numFmtId="3" fontId="27" fillId="0" borderId="9" xfId="0" applyNumberFormat="1" applyFont="1" applyFill="1" applyBorder="1" applyAlignment="1">
      <alignment horizontal="right" vertical="center" wrapText="1"/>
    </xf>
    <xf numFmtId="3" fontId="27" fillId="0" borderId="4" xfId="0" applyNumberFormat="1" applyFont="1" applyFill="1" applyBorder="1" applyAlignment="1">
      <alignment horizontal="right" vertical="center" wrapText="1"/>
    </xf>
    <xf numFmtId="3" fontId="27" fillId="0" borderId="5" xfId="0" applyNumberFormat="1" applyFont="1" applyFill="1" applyBorder="1" applyAlignment="1">
      <alignment horizontal="right" vertical="center" wrapText="1"/>
    </xf>
    <xf numFmtId="49" fontId="27" fillId="0" borderId="8" xfId="0" applyNumberFormat="1" applyFont="1" applyBorder="1" applyAlignment="1">
      <alignment horizontal="center" vertical="center"/>
    </xf>
    <xf numFmtId="3" fontId="27" fillId="0" borderId="6" xfId="0" applyNumberFormat="1" applyFont="1" applyBorder="1" applyAlignment="1">
      <alignment horizontal="center" vertical="center"/>
    </xf>
    <xf numFmtId="0" fontId="31" fillId="0" borderId="7" xfId="0" applyFont="1" applyBorder="1" applyAlignment="1">
      <alignment vertical="center"/>
    </xf>
    <xf numFmtId="0" fontId="31" fillId="0" borderId="4" xfId="0" applyFont="1" applyBorder="1" applyAlignment="1">
      <alignment vertical="center"/>
    </xf>
    <xf numFmtId="0" fontId="31" fillId="0" borderId="5" xfId="0" applyFont="1" applyBorder="1" applyAlignment="1">
      <alignment vertical="center"/>
    </xf>
    <xf numFmtId="0" fontId="27" fillId="0" borderId="45" xfId="0" applyFont="1" applyBorder="1" applyAlignment="1">
      <alignment vertical="center" wrapText="1"/>
    </xf>
    <xf numFmtId="0" fontId="32" fillId="0" borderId="0" xfId="0" applyFont="1" applyFill="1" applyBorder="1" applyAlignment="1" applyProtection="1">
      <alignment horizontal="left" vertical="center"/>
    </xf>
    <xf numFmtId="0" fontId="27" fillId="0" borderId="61" xfId="0" applyFont="1" applyBorder="1" applyAlignment="1">
      <alignment horizontal="center" vertical="center"/>
    </xf>
    <xf numFmtId="0" fontId="27" fillId="0" borderId="78" xfId="0" applyFont="1" applyBorder="1" applyAlignment="1">
      <alignment horizontal="center" vertical="center"/>
    </xf>
    <xf numFmtId="0" fontId="27" fillId="0" borderId="11" xfId="0" applyFont="1" applyBorder="1" applyAlignment="1">
      <alignment vertical="center"/>
    </xf>
    <xf numFmtId="0" fontId="27" fillId="0" borderId="14" xfId="0" applyFont="1" applyBorder="1" applyAlignment="1">
      <alignment vertical="center"/>
    </xf>
    <xf numFmtId="0" fontId="27" fillId="0" borderId="7" xfId="0" applyFont="1" applyBorder="1" applyAlignment="1">
      <alignment vertical="center"/>
    </xf>
    <xf numFmtId="0" fontId="27" fillId="0" borderId="5" xfId="0" applyFont="1" applyBorder="1" applyAlignment="1">
      <alignment vertical="center"/>
    </xf>
    <xf numFmtId="0" fontId="56" fillId="0" borderId="16" xfId="0" applyFont="1" applyBorder="1" applyAlignment="1">
      <alignment horizontal="center" vertical="center" wrapText="1"/>
    </xf>
    <xf numFmtId="0" fontId="27" fillId="0" borderId="8" xfId="0" applyFont="1" applyBorder="1" applyAlignment="1">
      <alignment vertical="center"/>
    </xf>
    <xf numFmtId="0" fontId="27" fillId="0" borderId="6" xfId="0" applyFont="1" applyBorder="1" applyAlignment="1">
      <alignment vertical="center"/>
    </xf>
    <xf numFmtId="0" fontId="27" fillId="0" borderId="17" xfId="0" applyFont="1" applyBorder="1" applyAlignment="1">
      <alignment horizontal="center" vertical="center"/>
    </xf>
    <xf numFmtId="3" fontId="27" fillId="0" borderId="10" xfId="0" applyNumberFormat="1" applyFont="1" applyFill="1" applyBorder="1" applyAlignment="1">
      <alignment horizontal="right" vertical="center" wrapText="1"/>
    </xf>
    <xf numFmtId="3" fontId="27" fillId="0" borderId="3" xfId="0" applyNumberFormat="1" applyFont="1" applyFill="1" applyBorder="1" applyAlignment="1">
      <alignment horizontal="right" vertical="center" wrapText="1"/>
    </xf>
    <xf numFmtId="3" fontId="27" fillId="0" borderId="6" xfId="0" applyNumberFormat="1" applyFont="1" applyFill="1" applyBorder="1" applyAlignment="1">
      <alignment horizontal="right" vertical="center" wrapText="1"/>
    </xf>
    <xf numFmtId="0" fontId="31" fillId="0" borderId="8" xfId="0" applyFont="1" applyBorder="1" applyAlignment="1">
      <alignment vertical="center"/>
    </xf>
    <xf numFmtId="0" fontId="31" fillId="0" borderId="3" xfId="0" applyFont="1" applyBorder="1" applyAlignment="1">
      <alignment vertical="center"/>
    </xf>
    <xf numFmtId="0" fontId="27" fillId="0" borderId="18" xfId="0" applyFont="1" applyBorder="1" applyAlignment="1">
      <alignment horizontal="right" vertical="center"/>
    </xf>
    <xf numFmtId="3" fontId="27" fillId="0" borderId="7" xfId="0" applyNumberFormat="1" applyFont="1" applyFill="1" applyBorder="1" applyAlignment="1">
      <alignment horizontal="right" vertical="center" wrapText="1"/>
    </xf>
    <xf numFmtId="0" fontId="27" fillId="0" borderId="18" xfId="0" applyFont="1" applyBorder="1" applyAlignment="1">
      <alignment vertical="center"/>
    </xf>
    <xf numFmtId="0" fontId="27" fillId="27" borderId="18" xfId="0" applyFont="1" applyFill="1" applyBorder="1" applyAlignment="1">
      <alignment vertical="center"/>
    </xf>
    <xf numFmtId="0" fontId="27" fillId="22" borderId="18" xfId="0" applyFont="1" applyFill="1" applyBorder="1" applyAlignment="1">
      <alignment vertical="center"/>
    </xf>
    <xf numFmtId="0" fontId="27" fillId="25" borderId="48" xfId="0" applyFont="1" applyFill="1" applyBorder="1" applyAlignment="1">
      <alignment vertical="center"/>
    </xf>
    <xf numFmtId="0" fontId="27" fillId="0" borderId="48" xfId="0" applyFont="1" applyBorder="1" applyAlignment="1">
      <alignment vertical="center"/>
    </xf>
    <xf numFmtId="0" fontId="27" fillId="25" borderId="48" xfId="0" quotePrefix="1" applyFont="1" applyFill="1" applyBorder="1" applyAlignment="1">
      <alignment vertical="center"/>
    </xf>
    <xf numFmtId="0" fontId="31" fillId="0" borderId="48" xfId="0" applyFont="1" applyBorder="1"/>
    <xf numFmtId="0" fontId="27" fillId="26" borderId="0" xfId="0" applyFont="1" applyFill="1" applyBorder="1" applyAlignment="1">
      <alignment vertical="center"/>
    </xf>
    <xf numFmtId="0" fontId="31" fillId="0" borderId="0" xfId="0" applyFont="1" applyBorder="1"/>
    <xf numFmtId="0" fontId="27" fillId="27" borderId="46" xfId="0" applyFont="1" applyFill="1" applyBorder="1" applyAlignment="1">
      <alignment vertical="center"/>
    </xf>
    <xf numFmtId="0" fontId="27" fillId="0" borderId="46" xfId="0" applyFont="1" applyBorder="1" applyAlignment="1">
      <alignment vertical="center"/>
    </xf>
    <xf numFmtId="0" fontId="31" fillId="0" borderId="46" xfId="0" applyFont="1" applyBorder="1"/>
    <xf numFmtId="0" fontId="27" fillId="25" borderId="0" xfId="0" applyFont="1" applyFill="1" applyBorder="1" applyAlignment="1">
      <alignment vertical="center"/>
    </xf>
    <xf numFmtId="0" fontId="27" fillId="28" borderId="0" xfId="0" applyFont="1" applyFill="1" applyBorder="1" applyAlignment="1">
      <alignment vertical="center"/>
    </xf>
    <xf numFmtId="0" fontId="27" fillId="0" borderId="7" xfId="0" applyFont="1" applyBorder="1" applyAlignment="1">
      <alignment horizontal="right" vertical="center"/>
    </xf>
    <xf numFmtId="0" fontId="27" fillId="0" borderId="4" xfId="0" applyFont="1" applyBorder="1" applyAlignment="1">
      <alignment horizontal="right" vertical="center"/>
    </xf>
    <xf numFmtId="0" fontId="27" fillId="0" borderId="5" xfId="0" applyFont="1" applyBorder="1" applyAlignment="1">
      <alignment horizontal="right" vertical="center"/>
    </xf>
    <xf numFmtId="0" fontId="27" fillId="27" borderId="0" xfId="0" applyFont="1" applyFill="1" applyBorder="1" applyAlignment="1">
      <alignment vertical="center"/>
    </xf>
    <xf numFmtId="0" fontId="27" fillId="0" borderId="19" xfId="0" applyFont="1" applyBorder="1" applyAlignment="1">
      <alignment horizontal="right" vertical="center"/>
    </xf>
    <xf numFmtId="0" fontId="27" fillId="0" borderId="8" xfId="0" applyFont="1" applyBorder="1" applyAlignment="1">
      <alignment horizontal="right" vertical="center"/>
    </xf>
    <xf numFmtId="0" fontId="27" fillId="0" borderId="3" xfId="0" applyFont="1" applyBorder="1" applyAlignment="1">
      <alignment horizontal="right" vertical="center"/>
    </xf>
    <xf numFmtId="0" fontId="27" fillId="0" borderId="6" xfId="0" applyFont="1" applyBorder="1" applyAlignment="1">
      <alignment horizontal="right" vertical="center"/>
    </xf>
    <xf numFmtId="0" fontId="27" fillId="0" borderId="0" xfId="0" applyFont="1" applyAlignment="1">
      <alignment horizontal="right" vertical="center"/>
    </xf>
    <xf numFmtId="0" fontId="26" fillId="14" borderId="20" xfId="0" applyNumberFormat="1" applyFont="1" applyFill="1" applyBorder="1" applyProtection="1">
      <protection locked="0" hidden="1"/>
    </xf>
    <xf numFmtId="0" fontId="29" fillId="14" borderId="36" xfId="0" applyFont="1" applyFill="1" applyBorder="1" applyAlignment="1" applyProtection="1">
      <alignment horizontal="left"/>
      <protection locked="0" hidden="1"/>
    </xf>
    <xf numFmtId="0" fontId="29" fillId="14" borderId="37" xfId="0" applyFont="1" applyFill="1" applyBorder="1" applyAlignment="1" applyProtection="1">
      <alignment horizontal="left"/>
      <protection locked="0" hidden="1"/>
    </xf>
    <xf numFmtId="0" fontId="29" fillId="14" borderId="38" xfId="0" applyFont="1" applyFill="1" applyBorder="1" applyAlignment="1" applyProtection="1">
      <alignment horizontal="left"/>
      <protection locked="0" hidden="1"/>
    </xf>
    <xf numFmtId="49" fontId="0" fillId="16" borderId="97" xfId="0" applyNumberFormat="1" applyFont="1" applyFill="1" applyBorder="1" applyProtection="1">
      <protection locked="0"/>
    </xf>
    <xf numFmtId="49" fontId="26" fillId="16" borderId="98" xfId="0" applyNumberFormat="1" applyFont="1" applyFill="1" applyBorder="1" applyProtection="1">
      <protection locked="0"/>
    </xf>
    <xf numFmtId="49" fontId="26" fillId="16" borderId="99" xfId="0" applyNumberFormat="1" applyFont="1" applyFill="1" applyBorder="1" applyProtection="1">
      <protection locked="0"/>
    </xf>
    <xf numFmtId="49" fontId="29" fillId="12" borderId="67" xfId="0" applyNumberFormat="1" applyFont="1" applyFill="1" applyBorder="1" applyAlignment="1" applyProtection="1">
      <alignment vertical="center"/>
    </xf>
    <xf numFmtId="0" fontId="26" fillId="14" borderId="21" xfId="0" applyNumberFormat="1" applyFont="1" applyFill="1" applyBorder="1" applyProtection="1">
      <protection locked="0" hidden="1"/>
    </xf>
    <xf numFmtId="0" fontId="26" fillId="14" borderId="22" xfId="0" applyNumberFormat="1" applyFont="1" applyFill="1" applyBorder="1" applyProtection="1">
      <protection locked="0" hidden="1"/>
    </xf>
    <xf numFmtId="0" fontId="27" fillId="29" borderId="0" xfId="0" applyFont="1" applyFill="1" applyAlignment="1">
      <alignment vertical="center"/>
    </xf>
    <xf numFmtId="0" fontId="27" fillId="0" borderId="40" xfId="0" applyFont="1" applyBorder="1" applyAlignment="1">
      <alignment horizontal="center" vertical="center"/>
    </xf>
    <xf numFmtId="0" fontId="27" fillId="0" borderId="64" xfId="0" applyFont="1" applyBorder="1" applyAlignment="1">
      <alignment horizontal="center" vertical="center" wrapText="1"/>
    </xf>
    <xf numFmtId="0" fontId="55" fillId="0" borderId="56" xfId="0" applyFont="1" applyBorder="1" applyAlignment="1">
      <alignment horizontal="center" vertical="center"/>
    </xf>
    <xf numFmtId="0" fontId="27" fillId="0" borderId="20" xfId="0" applyFont="1" applyBorder="1" applyAlignment="1">
      <alignment vertical="center"/>
    </xf>
    <xf numFmtId="0" fontId="27" fillId="0" borderId="21" xfId="0" applyFont="1" applyBorder="1" applyAlignment="1">
      <alignment vertical="center"/>
    </xf>
    <xf numFmtId="0" fontId="27" fillId="0" borderId="22" xfId="0" applyFont="1" applyBorder="1" applyAlignment="1">
      <alignment vertical="center"/>
    </xf>
    <xf numFmtId="0" fontId="28" fillId="0" borderId="21" xfId="0" applyFont="1" applyBorder="1" applyAlignment="1">
      <alignment vertical="center"/>
    </xf>
    <xf numFmtId="0" fontId="28" fillId="0" borderId="32" xfId="0" applyFont="1" applyBorder="1" applyAlignment="1">
      <alignment vertical="center"/>
    </xf>
    <xf numFmtId="0" fontId="28" fillId="0" borderId="22" xfId="0" applyFont="1" applyBorder="1" applyAlignment="1">
      <alignment vertical="center"/>
    </xf>
    <xf numFmtId="0" fontId="56" fillId="0" borderId="18" xfId="0" applyFont="1" applyBorder="1" applyAlignment="1">
      <alignment horizontal="center" vertical="center" wrapText="1"/>
    </xf>
    <xf numFmtId="0" fontId="27" fillId="0" borderId="46" xfId="0" applyFont="1" applyBorder="1" applyAlignment="1">
      <alignment horizontal="right" vertical="center"/>
    </xf>
    <xf numFmtId="0" fontId="27" fillId="0" borderId="34" xfId="0" applyFont="1" applyBorder="1" applyAlignment="1">
      <alignment horizontal="right" vertical="center"/>
    </xf>
    <xf numFmtId="0" fontId="27" fillId="0" borderId="18" xfId="0" applyFont="1" applyBorder="1" applyAlignment="1">
      <alignment horizontal="center" vertical="center"/>
    </xf>
    <xf numFmtId="0" fontId="27" fillId="0" borderId="23" xfId="0" applyFont="1" applyBorder="1" applyAlignment="1">
      <alignment horizontal="right" vertical="center"/>
    </xf>
    <xf numFmtId="0" fontId="27" fillId="0" borderId="45" xfId="0" applyFont="1" applyBorder="1" applyAlignment="1">
      <alignment horizontal="right" vertical="center"/>
    </xf>
    <xf numFmtId="0" fontId="27" fillId="0" borderId="69" xfId="0" applyFont="1" applyBorder="1" applyAlignment="1">
      <alignment horizontal="right" vertical="center"/>
    </xf>
    <xf numFmtId="0" fontId="27" fillId="0" borderId="24" xfId="0" applyFont="1" applyBorder="1" applyAlignment="1">
      <alignment horizontal="right" vertical="center"/>
    </xf>
    <xf numFmtId="0" fontId="32" fillId="0" borderId="0" xfId="0" applyFont="1" applyProtection="1">
      <protection hidden="1"/>
    </xf>
    <xf numFmtId="0" fontId="32" fillId="0" borderId="0" xfId="0" applyFont="1" applyAlignment="1" applyProtection="1">
      <alignment horizontal="right"/>
      <protection hidden="1"/>
    </xf>
    <xf numFmtId="3" fontId="23" fillId="0" borderId="0" xfId="0" applyNumberFormat="1" applyFont="1" applyFill="1" applyBorder="1" applyAlignment="1" applyProtection="1">
      <alignment vertical="center" wrapText="1"/>
      <protection hidden="1"/>
    </xf>
    <xf numFmtId="0" fontId="21" fillId="0" borderId="0" xfId="0" applyNumberFormat="1" applyFont="1" applyFill="1" applyBorder="1" applyAlignment="1" applyProtection="1">
      <alignment vertical="center"/>
      <protection hidden="1"/>
    </xf>
    <xf numFmtId="0" fontId="29" fillId="0" borderId="0" xfId="0" applyFont="1" applyAlignment="1" applyProtection="1">
      <alignment horizontal="center"/>
      <protection hidden="1"/>
    </xf>
    <xf numFmtId="3" fontId="29" fillId="15" borderId="65" xfId="0" applyNumberFormat="1" applyFont="1" applyFill="1" applyBorder="1" applyAlignment="1" applyProtection="1">
      <alignment vertical="center" wrapText="1"/>
      <protection hidden="1"/>
    </xf>
    <xf numFmtId="3" fontId="29" fillId="12" borderId="100" xfId="0" applyNumberFormat="1" applyFont="1" applyFill="1" applyBorder="1" applyAlignment="1" applyProtection="1">
      <alignment vertical="center" wrapText="1"/>
    </xf>
    <xf numFmtId="49" fontId="26" fillId="14" borderId="13" xfId="0" applyNumberFormat="1" applyFont="1" applyFill="1" applyBorder="1" applyAlignment="1" applyProtection="1">
      <alignment vertical="center"/>
      <protection locked="0" hidden="1"/>
    </xf>
    <xf numFmtId="3" fontId="26" fillId="16" borderId="104" xfId="0" applyNumberFormat="1" applyFont="1" applyFill="1" applyBorder="1" applyAlignment="1" applyProtection="1">
      <alignment horizontal="center" vertical="center"/>
      <protection locked="0"/>
    </xf>
    <xf numFmtId="49" fontId="26" fillId="14" borderId="4" xfId="0" applyNumberFormat="1" applyFont="1" applyFill="1" applyBorder="1" applyAlignment="1" applyProtection="1">
      <alignment vertical="center"/>
      <protection locked="0" hidden="1"/>
    </xf>
    <xf numFmtId="3" fontId="26" fillId="16" borderId="72" xfId="0" applyNumberFormat="1" applyFont="1" applyFill="1" applyBorder="1" applyAlignment="1" applyProtection="1">
      <alignment horizontal="center" vertical="center"/>
      <protection locked="0"/>
    </xf>
    <xf numFmtId="49" fontId="26" fillId="14" borderId="3" xfId="0" applyNumberFormat="1" applyFont="1" applyFill="1" applyBorder="1" applyAlignment="1" applyProtection="1">
      <alignment vertical="center"/>
      <protection locked="0" hidden="1"/>
    </xf>
    <xf numFmtId="3" fontId="26" fillId="16" borderId="74" xfId="0" applyNumberFormat="1" applyFont="1" applyFill="1" applyBorder="1" applyAlignment="1" applyProtection="1">
      <alignment horizontal="center" vertical="center"/>
      <protection locked="0"/>
    </xf>
    <xf numFmtId="0" fontId="29" fillId="12" borderId="101" xfId="0" applyFont="1" applyFill="1" applyBorder="1" applyAlignment="1" applyProtection="1">
      <alignment horizontal="right" vertical="center"/>
    </xf>
    <xf numFmtId="3" fontId="31" fillId="0" borderId="0"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vertical="center"/>
    </xf>
    <xf numFmtId="0" fontId="31" fillId="0" borderId="0" xfId="0" applyFont="1" applyAlignment="1" applyProtection="1">
      <alignment vertical="center"/>
      <protection hidden="1"/>
    </xf>
    <xf numFmtId="0" fontId="31" fillId="0" borderId="11" xfId="0" applyNumberFormat="1" applyFont="1" applyFill="1" applyBorder="1" applyAlignment="1" applyProtection="1">
      <alignment vertical="center" wrapText="1"/>
    </xf>
    <xf numFmtId="0" fontId="31" fillId="0" borderId="14" xfId="0" applyNumberFormat="1" applyFont="1" applyFill="1" applyBorder="1" applyAlignment="1" applyProtection="1">
      <alignment vertical="center"/>
    </xf>
    <xf numFmtId="0" fontId="31" fillId="0" borderId="0" xfId="0" applyFont="1" applyProtection="1">
      <protection hidden="1"/>
    </xf>
    <xf numFmtId="0" fontId="31" fillId="0" borderId="8" xfId="0" applyNumberFormat="1" applyFont="1" applyFill="1" applyBorder="1" applyAlignment="1" applyProtection="1">
      <alignment vertical="top" wrapText="1"/>
    </xf>
    <xf numFmtId="0" fontId="31" fillId="0" borderId="6" xfId="0" applyNumberFormat="1" applyFont="1" applyFill="1" applyBorder="1" applyAlignment="1" applyProtection="1">
      <alignment vertical="center"/>
    </xf>
    <xf numFmtId="0" fontId="38" fillId="0" borderId="55" xfId="15" applyFont="1" applyBorder="1" applyAlignment="1">
      <alignment vertical="top"/>
    </xf>
    <xf numFmtId="0" fontId="39" fillId="0" borderId="55" xfId="15" applyFont="1" applyBorder="1" applyAlignment="1">
      <alignment vertical="top"/>
    </xf>
    <xf numFmtId="0" fontId="40" fillId="0" borderId="55" xfId="15" applyFont="1" applyBorder="1" applyAlignment="1">
      <alignment vertical="top"/>
    </xf>
    <xf numFmtId="49" fontId="38" fillId="0" borderId="55" xfId="15" applyNumberFormat="1" applyFont="1" applyBorder="1" applyAlignment="1">
      <alignment vertical="top"/>
    </xf>
    <xf numFmtId="0" fontId="54" fillId="0" borderId="55" xfId="15" applyFont="1" applyBorder="1" applyAlignment="1">
      <alignment vertical="center"/>
    </xf>
    <xf numFmtId="0" fontId="38" fillId="0" borderId="55" xfId="15" applyFont="1" applyBorder="1" applyAlignment="1">
      <alignment vertical="center"/>
    </xf>
    <xf numFmtId="0" fontId="58" fillId="0" borderId="55" xfId="15" applyFont="1" applyBorder="1" applyAlignment="1">
      <alignment vertical="top"/>
    </xf>
    <xf numFmtId="0" fontId="59" fillId="0" borderId="55" xfId="15" applyFont="1" applyBorder="1" applyAlignment="1">
      <alignment vertical="top"/>
    </xf>
    <xf numFmtId="0" fontId="62" fillId="0" borderId="55" xfId="15" applyFont="1" applyBorder="1" applyAlignment="1">
      <alignment vertical="top"/>
    </xf>
    <xf numFmtId="0" fontId="38" fillId="0" borderId="55" xfId="15" applyFont="1" applyBorder="1" applyAlignment="1">
      <alignment vertical="top" wrapText="1"/>
    </xf>
    <xf numFmtId="0" fontId="63" fillId="0" borderId="55" xfId="15" applyFont="1" applyBorder="1" applyAlignment="1">
      <alignment vertical="top"/>
    </xf>
    <xf numFmtId="0" fontId="38" fillId="0" borderId="111" xfId="15" applyFont="1" applyBorder="1" applyAlignment="1">
      <alignment horizontal="left" vertical="top" wrapText="1"/>
    </xf>
    <xf numFmtId="0" fontId="38" fillId="0" borderId="112" xfId="15" applyFont="1" applyBorder="1" applyAlignment="1">
      <alignment horizontal="left" vertical="top" wrapText="1"/>
    </xf>
    <xf numFmtId="0" fontId="38" fillId="0" borderId="113" xfId="15" applyFont="1" applyBorder="1" applyAlignment="1">
      <alignment horizontal="left" vertical="top" wrapText="1"/>
    </xf>
    <xf numFmtId="0" fontId="41" fillId="0" borderId="55" xfId="12" applyFont="1" applyBorder="1" applyAlignment="1" applyProtection="1">
      <alignment horizontal="center" vertical="top"/>
    </xf>
    <xf numFmtId="0" fontId="36" fillId="0" borderId="55" xfId="15" applyFont="1" applyBorder="1" applyAlignment="1">
      <alignment horizontal="left" vertical="top" wrapText="1"/>
    </xf>
    <xf numFmtId="0" fontId="38" fillId="0" borderId="55" xfId="15" applyFont="1" applyBorder="1" applyAlignment="1">
      <alignment horizontal="left" vertical="top" wrapText="1"/>
    </xf>
    <xf numFmtId="0" fontId="38" fillId="0" borderId="55" xfId="15" applyFont="1" applyBorder="1" applyAlignment="1">
      <alignment vertical="top" wrapText="1"/>
    </xf>
    <xf numFmtId="0" fontId="47" fillId="0" borderId="55" xfId="15" applyFont="1" applyBorder="1" applyAlignment="1">
      <alignment horizontal="left" vertical="top" wrapText="1"/>
    </xf>
    <xf numFmtId="0" fontId="39" fillId="0" borderId="55" xfId="15" applyFont="1" applyBorder="1" applyAlignment="1">
      <alignment vertical="top" wrapText="1"/>
    </xf>
    <xf numFmtId="0" fontId="60" fillId="0" borderId="111" xfId="15" applyFont="1" applyBorder="1" applyAlignment="1">
      <alignment horizontal="left" vertical="top"/>
    </xf>
    <xf numFmtId="0" fontId="60" fillId="0" borderId="112" xfId="15" applyFont="1" applyBorder="1" applyAlignment="1">
      <alignment horizontal="left" vertical="top"/>
    </xf>
    <xf numFmtId="0" fontId="60" fillId="0" borderId="113" xfId="15" applyFont="1" applyBorder="1" applyAlignment="1">
      <alignment horizontal="left" vertical="top"/>
    </xf>
    <xf numFmtId="0" fontId="39" fillId="0" borderId="111" xfId="15" applyFont="1" applyBorder="1" applyAlignment="1">
      <alignment horizontal="left" vertical="top"/>
    </xf>
    <xf numFmtId="0" fontId="39" fillId="0" borderId="112" xfId="15" applyFont="1" applyBorder="1" applyAlignment="1">
      <alignment horizontal="left" vertical="top"/>
    </xf>
    <xf numFmtId="0" fontId="39" fillId="0" borderId="113" xfId="15" applyFont="1" applyBorder="1" applyAlignment="1">
      <alignment horizontal="left" vertical="top"/>
    </xf>
    <xf numFmtId="0" fontId="38" fillId="0" borderId="111" xfId="15" quotePrefix="1" applyFont="1" applyBorder="1" applyAlignment="1">
      <alignment horizontal="left" vertical="top" wrapText="1"/>
    </xf>
    <xf numFmtId="0" fontId="38" fillId="0" borderId="112" xfId="15" quotePrefix="1" applyFont="1" applyBorder="1" applyAlignment="1">
      <alignment horizontal="left" vertical="top" wrapText="1"/>
    </xf>
    <xf numFmtId="0" fontId="38" fillId="0" borderId="113" xfId="15" quotePrefix="1" applyFont="1" applyBorder="1" applyAlignment="1">
      <alignment horizontal="left" vertical="top" wrapText="1"/>
    </xf>
    <xf numFmtId="0" fontId="10" fillId="0" borderId="80" xfId="0" applyFont="1" applyFill="1" applyBorder="1" applyAlignment="1" applyProtection="1">
      <alignment vertical="center" shrinkToFit="1"/>
      <protection locked="0"/>
    </xf>
    <xf numFmtId="0" fontId="10" fillId="0" borderId="81" xfId="0" applyFont="1" applyFill="1" applyBorder="1" applyAlignment="1" applyProtection="1">
      <alignment vertical="center" shrinkToFit="1"/>
      <protection locked="0"/>
    </xf>
    <xf numFmtId="0" fontId="10" fillId="0" borderId="82" xfId="0" applyFont="1" applyFill="1" applyBorder="1" applyAlignment="1" applyProtection="1">
      <alignment vertical="center" shrinkToFit="1"/>
      <protection locked="0"/>
    </xf>
    <xf numFmtId="0" fontId="42" fillId="0" borderId="63" xfId="14" applyFont="1" applyBorder="1" applyAlignment="1">
      <alignment horizontal="center"/>
    </xf>
    <xf numFmtId="0" fontId="42" fillId="0" borderId="29" xfId="14" applyFont="1" applyBorder="1" applyAlignment="1">
      <alignment horizontal="center"/>
    </xf>
    <xf numFmtId="0" fontId="42" fillId="0" borderId="43" xfId="14" applyFont="1" applyBorder="1" applyAlignment="1">
      <alignment horizontal="center"/>
    </xf>
    <xf numFmtId="0" fontId="45" fillId="0" borderId="42" xfId="14" applyFont="1" applyFill="1" applyBorder="1" applyAlignment="1">
      <alignment horizontal="left" wrapText="1"/>
    </xf>
    <xf numFmtId="0" fontId="45" fillId="0" borderId="48" xfId="14" applyFont="1" applyFill="1" applyBorder="1" applyAlignment="1">
      <alignment horizontal="left" wrapText="1"/>
    </xf>
    <xf numFmtId="0" fontId="45" fillId="0" borderId="47" xfId="14" applyFont="1" applyFill="1" applyBorder="1" applyAlignment="1">
      <alignment horizontal="left" wrapText="1"/>
    </xf>
    <xf numFmtId="0" fontId="45" fillId="0" borderId="49" xfId="14" applyFont="1" applyFill="1" applyBorder="1" applyAlignment="1">
      <alignment horizontal="left" wrapText="1"/>
    </xf>
    <xf numFmtId="0" fontId="45" fillId="0" borderId="0" xfId="14" applyFont="1" applyFill="1" applyBorder="1" applyAlignment="1">
      <alignment horizontal="left" wrapText="1"/>
    </xf>
    <xf numFmtId="0" fontId="45" fillId="0" borderId="50" xfId="14" applyFont="1" applyFill="1" applyBorder="1" applyAlignment="1">
      <alignment horizontal="left" wrapText="1"/>
    </xf>
    <xf numFmtId="0" fontId="49" fillId="0" borderId="51" xfId="14" applyBorder="1" applyAlignment="1"/>
    <xf numFmtId="0" fontId="49" fillId="0" borderId="46" xfId="14" applyBorder="1" applyAlignment="1"/>
    <xf numFmtId="0" fontId="49" fillId="0" borderId="45" xfId="14" applyBorder="1" applyAlignment="1"/>
    <xf numFmtId="0" fontId="49" fillId="0" borderId="94" xfId="14" applyBorder="1" applyAlignment="1" applyProtection="1">
      <alignment horizontal="left"/>
      <protection locked="0"/>
    </xf>
    <xf numFmtId="0" fontId="49" fillId="0" borderId="95" xfId="14" applyBorder="1" applyAlignment="1" applyProtection="1">
      <alignment horizontal="left"/>
      <protection locked="0"/>
    </xf>
    <xf numFmtId="0" fontId="49" fillId="0" borderId="96" xfId="14" applyBorder="1" applyAlignment="1" applyProtection="1">
      <alignment horizontal="left"/>
      <protection locked="0"/>
    </xf>
    <xf numFmtId="49" fontId="2" fillId="0" borderId="60" xfId="0" applyNumberFormat="1" applyFont="1" applyFill="1" applyBorder="1" applyAlignment="1" applyProtection="1">
      <alignment horizontal="center" vertical="center" wrapText="1"/>
    </xf>
    <xf numFmtId="49" fontId="2" fillId="0" borderId="35" xfId="0" applyNumberFormat="1" applyFont="1" applyFill="1" applyBorder="1" applyAlignment="1" applyProtection="1">
      <alignment horizontal="center" vertical="center" wrapText="1"/>
    </xf>
    <xf numFmtId="49" fontId="2" fillId="0" borderId="60" xfId="0" applyNumberFormat="1" applyFont="1" applyBorder="1" applyAlignment="1" applyProtection="1">
      <alignment horizontal="center" vertical="center" wrapText="1"/>
    </xf>
    <xf numFmtId="49" fontId="2" fillId="0" borderId="35" xfId="0" applyNumberFormat="1" applyFont="1" applyBorder="1" applyAlignment="1" applyProtection="1">
      <alignment horizontal="center" vertical="center" wrapText="1"/>
    </xf>
    <xf numFmtId="49" fontId="2" fillId="0" borderId="63" xfId="0" applyNumberFormat="1" applyFont="1" applyFill="1" applyBorder="1" applyAlignment="1" applyProtection="1">
      <alignment horizontal="center" vertical="center" wrapText="1"/>
    </xf>
    <xf numFmtId="49" fontId="2" fillId="0" borderId="43" xfId="0" applyNumberFormat="1" applyFont="1" applyFill="1" applyBorder="1" applyAlignment="1" applyProtection="1">
      <alignment horizontal="center" vertical="center" wrapText="1"/>
    </xf>
    <xf numFmtId="3" fontId="2" fillId="0" borderId="60" xfId="0" applyNumberFormat="1" applyFont="1" applyBorder="1" applyAlignment="1" applyProtection="1">
      <alignment horizontal="center" vertical="center" wrapText="1"/>
    </xf>
    <xf numFmtId="3" fontId="2" fillId="0" borderId="35" xfId="0" applyNumberFormat="1" applyFont="1" applyBorder="1" applyAlignment="1" applyProtection="1">
      <alignment horizontal="center" vertical="center" wrapText="1"/>
    </xf>
    <xf numFmtId="0" fontId="2" fillId="0" borderId="60" xfId="0" applyNumberFormat="1" applyFont="1" applyBorder="1" applyAlignment="1" applyProtection="1">
      <alignment horizontal="center" vertical="center" wrapText="1"/>
    </xf>
    <xf numFmtId="0" fontId="2" fillId="0" borderId="35" xfId="0" applyNumberFormat="1" applyFont="1" applyBorder="1" applyAlignment="1" applyProtection="1">
      <alignment horizontal="center" vertical="center" wrapText="1"/>
    </xf>
    <xf numFmtId="1" fontId="2" fillId="0" borderId="60" xfId="0" applyNumberFormat="1" applyFont="1" applyBorder="1" applyAlignment="1" applyProtection="1">
      <alignment horizontal="center" vertical="center" wrapText="1"/>
    </xf>
    <xf numFmtId="1" fontId="2" fillId="0" borderId="35" xfId="0" applyNumberFormat="1" applyFont="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0" fontId="2" fillId="0" borderId="58" xfId="0" applyFont="1" applyFill="1" applyBorder="1" applyAlignment="1" applyProtection="1">
      <alignment horizontal="center" vertical="center" wrapText="1"/>
    </xf>
    <xf numFmtId="0" fontId="2" fillId="0" borderId="59"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60" xfId="0" applyFont="1" applyFill="1" applyBorder="1" applyAlignment="1" applyProtection="1">
      <alignment horizontal="center" vertical="center" wrapText="1"/>
    </xf>
    <xf numFmtId="0" fontId="2" fillId="0" borderId="35" xfId="0" applyFont="1" applyFill="1" applyBorder="1" applyAlignment="1" applyProtection="1">
      <alignment horizontal="center" vertical="center" wrapText="1"/>
    </xf>
    <xf numFmtId="0" fontId="2" fillId="0" borderId="83"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2" fillId="0" borderId="60"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50" fillId="21" borderId="0" xfId="0" applyFont="1" applyFill="1" applyBorder="1" applyAlignment="1" applyProtection="1">
      <alignment horizontal="center" vertical="center" wrapText="1"/>
      <protection hidden="1"/>
    </xf>
    <xf numFmtId="0" fontId="2" fillId="0" borderId="84" xfId="0" applyNumberFormat="1" applyFont="1" applyBorder="1" applyAlignment="1" applyProtection="1">
      <alignment horizontal="center" vertical="center" wrapText="1"/>
    </xf>
    <xf numFmtId="0" fontId="2" fillId="0" borderId="65" xfId="0" applyNumberFormat="1" applyFont="1" applyBorder="1" applyAlignment="1" applyProtection="1">
      <alignment horizontal="center" vertical="center" wrapText="1"/>
    </xf>
    <xf numFmtId="49" fontId="2" fillId="0" borderId="102" xfId="0" applyNumberFormat="1" applyFont="1" applyBorder="1" applyAlignment="1" applyProtection="1">
      <alignment horizontal="center" vertical="center" wrapText="1"/>
    </xf>
    <xf numFmtId="49" fontId="2" fillId="0" borderId="103" xfId="0" applyNumberFormat="1" applyFont="1" applyBorder="1" applyAlignment="1" applyProtection="1">
      <alignment horizontal="center" vertical="center" wrapText="1"/>
    </xf>
    <xf numFmtId="3" fontId="2" fillId="0" borderId="61" xfId="0" applyNumberFormat="1" applyFont="1" applyBorder="1" applyAlignment="1" applyProtection="1">
      <alignment horizontal="center" vertical="center" wrapText="1"/>
    </xf>
    <xf numFmtId="3" fontId="2" fillId="0" borderId="25" xfId="0" applyNumberFormat="1" applyFont="1" applyBorder="1" applyAlignment="1" applyProtection="1">
      <alignment horizontal="center" vertical="center" wrapText="1"/>
    </xf>
    <xf numFmtId="3" fontId="2" fillId="0" borderId="102" xfId="0" applyNumberFormat="1" applyFont="1" applyBorder="1" applyAlignment="1" applyProtection="1">
      <alignment horizontal="center" vertical="center" wrapText="1"/>
    </xf>
    <xf numFmtId="3" fontId="2" fillId="0" borderId="103" xfId="0" applyNumberFormat="1" applyFont="1" applyBorder="1" applyAlignment="1" applyProtection="1">
      <alignment horizontal="center" vertical="center" wrapText="1"/>
    </xf>
    <xf numFmtId="0" fontId="2" fillId="0" borderId="36" xfId="0" applyNumberFormat="1" applyFont="1" applyBorder="1" applyAlignment="1" applyProtection="1">
      <alignment horizontal="center" vertical="center" wrapText="1"/>
    </xf>
    <xf numFmtId="0" fontId="2" fillId="0" borderId="15" xfId="0" applyNumberFormat="1" applyFont="1" applyBorder="1" applyAlignment="1" applyProtection="1">
      <alignment horizontal="center" vertical="center" wrapText="1"/>
    </xf>
    <xf numFmtId="0" fontId="2" fillId="0" borderId="83" xfId="0" applyNumberFormat="1" applyFont="1" applyBorder="1" applyAlignment="1" applyProtection="1">
      <alignment horizontal="center" vertical="center" wrapText="1"/>
    </xf>
    <xf numFmtId="0" fontId="2" fillId="0" borderId="67" xfId="0" applyNumberFormat="1" applyFont="1" applyBorder="1" applyAlignment="1" applyProtection="1">
      <alignment horizontal="center" vertical="center" wrapText="1"/>
    </xf>
    <xf numFmtId="3" fontId="2" fillId="0" borderId="60" xfId="0" applyNumberFormat="1" applyFont="1" applyFill="1" applyBorder="1" applyAlignment="1" applyProtection="1">
      <alignment horizontal="center" vertical="center" wrapText="1"/>
    </xf>
    <xf numFmtId="3" fontId="2" fillId="0" borderId="35" xfId="0" applyNumberFormat="1" applyFont="1" applyFill="1" applyBorder="1" applyAlignment="1" applyProtection="1">
      <alignment horizontal="center" vertical="center" wrapText="1"/>
    </xf>
    <xf numFmtId="3" fontId="2" fillId="0" borderId="83" xfId="0" applyNumberFormat="1" applyFont="1" applyFill="1" applyBorder="1" applyAlignment="1" applyProtection="1">
      <alignment horizontal="center" vertical="center" wrapText="1"/>
    </xf>
    <xf numFmtId="3" fontId="2" fillId="0" borderId="84" xfId="0" applyNumberFormat="1" applyFont="1" applyFill="1" applyBorder="1" applyAlignment="1" applyProtection="1">
      <alignment horizontal="center" vertical="center" wrapText="1"/>
    </xf>
    <xf numFmtId="3" fontId="2" fillId="0" borderId="85" xfId="0" applyNumberFormat="1" applyFont="1" applyFill="1" applyBorder="1" applyAlignment="1" applyProtection="1">
      <alignment horizontal="center" vertical="center" wrapText="1"/>
    </xf>
    <xf numFmtId="3" fontId="2" fillId="0" borderId="65" xfId="0" applyNumberFormat="1" applyFont="1" applyFill="1" applyBorder="1" applyAlignment="1" applyProtection="1">
      <alignment horizontal="center" vertical="center" wrapText="1"/>
    </xf>
    <xf numFmtId="3" fontId="2" fillId="0" borderId="83" xfId="0" applyNumberFormat="1" applyFont="1" applyBorder="1" applyAlignment="1" applyProtection="1">
      <alignment horizontal="center" vertical="center" wrapText="1"/>
    </xf>
    <xf numFmtId="3" fontId="2" fillId="0" borderId="84" xfId="0" applyNumberFormat="1" applyFont="1" applyBorder="1" applyAlignment="1" applyProtection="1">
      <alignment horizontal="center" vertical="center" wrapText="1"/>
    </xf>
    <xf numFmtId="3" fontId="2" fillId="0" borderId="85" xfId="0" applyNumberFormat="1" applyFont="1" applyBorder="1" applyAlignment="1" applyProtection="1">
      <alignment horizontal="center" vertical="center" wrapText="1"/>
    </xf>
    <xf numFmtId="3" fontId="2" fillId="0" borderId="65" xfId="0" applyNumberFormat="1" applyFont="1" applyBorder="1" applyAlignment="1" applyProtection="1">
      <alignment horizontal="center" vertical="center" wrapText="1"/>
    </xf>
    <xf numFmtId="3" fontId="57" fillId="21" borderId="88" xfId="0" applyNumberFormat="1" applyFont="1" applyFill="1" applyBorder="1" applyAlignment="1" applyProtection="1">
      <alignment horizontal="center" vertical="center"/>
    </xf>
    <xf numFmtId="3" fontId="57" fillId="21" borderId="89" xfId="0" applyNumberFormat="1" applyFont="1" applyFill="1" applyBorder="1" applyAlignment="1" applyProtection="1">
      <alignment horizontal="center" vertical="center"/>
    </xf>
    <xf numFmtId="3" fontId="57" fillId="21" borderId="90"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3" fontId="57" fillId="21" borderId="91" xfId="0" applyNumberFormat="1" applyFont="1" applyFill="1" applyBorder="1" applyAlignment="1" applyProtection="1">
      <alignment horizontal="center" vertical="center"/>
    </xf>
    <xf numFmtId="3" fontId="57" fillId="21" borderId="92" xfId="0" applyNumberFormat="1" applyFont="1" applyFill="1" applyBorder="1" applyAlignment="1" applyProtection="1">
      <alignment horizontal="center" vertical="center"/>
    </xf>
    <xf numFmtId="3" fontId="57" fillId="21" borderId="93" xfId="0"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wrapText="1"/>
    </xf>
    <xf numFmtId="0" fontId="57" fillId="0" borderId="89" xfId="0" applyFont="1" applyFill="1" applyBorder="1" applyAlignment="1" applyProtection="1">
      <alignment horizontal="center" vertical="center" wrapText="1"/>
    </xf>
    <xf numFmtId="0" fontId="57" fillId="0" borderId="90" xfId="0" applyFont="1" applyFill="1" applyBorder="1" applyAlignment="1" applyProtection="1">
      <alignment horizontal="center" vertical="center" wrapText="1"/>
    </xf>
    <xf numFmtId="0" fontId="57" fillId="0" borderId="91" xfId="0" applyFont="1" applyFill="1" applyBorder="1" applyAlignment="1" applyProtection="1">
      <alignment horizontal="center" vertical="center" wrapText="1"/>
    </xf>
    <xf numFmtId="0" fontId="57" fillId="0" borderId="92" xfId="0" applyFont="1" applyFill="1" applyBorder="1" applyAlignment="1" applyProtection="1">
      <alignment horizontal="center" vertical="center" wrapText="1"/>
    </xf>
    <xf numFmtId="0" fontId="57" fillId="0" borderId="93" xfId="0" applyFont="1" applyFill="1" applyBorder="1" applyAlignment="1" applyProtection="1">
      <alignment horizontal="center" vertical="center" wrapText="1"/>
    </xf>
    <xf numFmtId="3" fontId="57" fillId="21" borderId="105" xfId="0" applyNumberFormat="1" applyFont="1" applyFill="1" applyBorder="1" applyAlignment="1" applyProtection="1">
      <alignment horizontal="center" vertical="center"/>
    </xf>
    <xf numFmtId="3" fontId="57" fillId="21" borderId="106" xfId="0" applyNumberFormat="1" applyFont="1" applyFill="1" applyBorder="1" applyAlignment="1" applyProtection="1">
      <alignment horizontal="center" vertical="center"/>
    </xf>
    <xf numFmtId="3" fontId="57" fillId="21" borderId="107" xfId="0" applyNumberFormat="1" applyFont="1" applyFill="1" applyBorder="1" applyAlignment="1" applyProtection="1">
      <alignment horizontal="center" vertical="center"/>
    </xf>
    <xf numFmtId="3" fontId="57" fillId="21" borderId="108" xfId="0" applyNumberFormat="1" applyFont="1" applyFill="1" applyBorder="1" applyAlignment="1" applyProtection="1">
      <alignment horizontal="center" vertical="center" wrapText="1"/>
    </xf>
    <xf numFmtId="3" fontId="57" fillId="21" borderId="109" xfId="0" applyNumberFormat="1" applyFont="1" applyFill="1" applyBorder="1" applyAlignment="1" applyProtection="1">
      <alignment horizontal="center" vertical="center" wrapText="1"/>
    </xf>
    <xf numFmtId="3" fontId="57" fillId="21" borderId="110" xfId="0" applyNumberFormat="1" applyFont="1" applyFill="1" applyBorder="1" applyAlignment="1" applyProtection="1">
      <alignment horizontal="center" vertical="center" wrapText="1"/>
    </xf>
    <xf numFmtId="3" fontId="50" fillId="19" borderId="88" xfId="0" applyNumberFormat="1" applyFont="1" applyFill="1" applyBorder="1" applyAlignment="1" applyProtection="1">
      <alignment horizontal="center" vertical="center" wrapText="1"/>
    </xf>
    <xf numFmtId="3" fontId="50" fillId="19" borderId="89" xfId="0" applyNumberFormat="1" applyFont="1" applyFill="1" applyBorder="1" applyAlignment="1" applyProtection="1">
      <alignment horizontal="center" vertical="center" wrapText="1"/>
    </xf>
    <xf numFmtId="3" fontId="50" fillId="19" borderId="90" xfId="0" applyNumberFormat="1" applyFont="1" applyFill="1" applyBorder="1" applyAlignment="1" applyProtection="1">
      <alignment horizontal="center" vertical="center" wrapText="1"/>
    </xf>
    <xf numFmtId="3" fontId="50" fillId="19" borderId="91" xfId="0" applyNumberFormat="1" applyFont="1" applyFill="1" applyBorder="1" applyAlignment="1" applyProtection="1">
      <alignment horizontal="center" vertical="center" wrapText="1"/>
    </xf>
    <xf numFmtId="3" fontId="50" fillId="19" borderId="92" xfId="0" applyNumberFormat="1" applyFont="1" applyFill="1" applyBorder="1" applyAlignment="1" applyProtection="1">
      <alignment horizontal="center" vertical="center" wrapText="1"/>
    </xf>
    <xf numFmtId="3" fontId="50" fillId="19" borderId="93" xfId="0" applyNumberFormat="1" applyFont="1" applyFill="1" applyBorder="1" applyAlignment="1" applyProtection="1">
      <alignment horizontal="center" vertical="center" wrapText="1"/>
    </xf>
    <xf numFmtId="0" fontId="5" fillId="0" borderId="0" xfId="0" applyFont="1" applyFill="1" applyBorder="1" applyAlignment="1" applyProtection="1">
      <alignment wrapText="1"/>
    </xf>
    <xf numFmtId="0" fontId="30" fillId="15" borderId="0" xfId="0" applyFont="1" applyFill="1" applyBorder="1" applyAlignment="1" applyProtection="1">
      <alignment horizontal="left"/>
      <protection hidden="1"/>
    </xf>
    <xf numFmtId="0" fontId="2" fillId="0" borderId="63" xfId="0" applyFont="1" applyBorder="1" applyAlignment="1" applyProtection="1">
      <alignment horizontal="center" vertical="center"/>
    </xf>
    <xf numFmtId="0" fontId="2" fillId="0" borderId="29" xfId="0" applyFont="1" applyBorder="1" applyAlignment="1" applyProtection="1">
      <alignment horizontal="center" vertical="center"/>
    </xf>
    <xf numFmtId="0" fontId="2" fillId="0" borderId="43" xfId="0" applyFont="1" applyBorder="1" applyAlignment="1" applyProtection="1">
      <alignment horizontal="center" vertical="center"/>
    </xf>
    <xf numFmtId="0" fontId="30" fillId="0" borderId="56" xfId="0" applyFont="1" applyBorder="1" applyAlignment="1">
      <alignment horizontal="center" vertical="center" wrapText="1"/>
    </xf>
    <xf numFmtId="0" fontId="30" fillId="0" borderId="59" xfId="0" applyFont="1" applyBorder="1" applyAlignment="1">
      <alignment horizontal="center" vertical="center" wrapText="1"/>
    </xf>
    <xf numFmtId="0" fontId="55" fillId="0" borderId="60" xfId="0" applyFont="1" applyBorder="1" applyAlignment="1">
      <alignment horizontal="center" vertical="center" textRotation="180"/>
    </xf>
    <xf numFmtId="0" fontId="55" fillId="0" borderId="86" xfId="0" applyFont="1" applyBorder="1" applyAlignment="1">
      <alignment horizontal="center" vertical="center" textRotation="180"/>
    </xf>
    <xf numFmtId="0" fontId="55" fillId="0" borderId="35" xfId="0" applyFont="1" applyBorder="1" applyAlignment="1">
      <alignment horizontal="center" vertical="center" textRotation="180"/>
    </xf>
    <xf numFmtId="3" fontId="19" fillId="0" borderId="60" xfId="0" applyNumberFormat="1" applyFont="1" applyFill="1" applyBorder="1" applyAlignment="1">
      <alignment horizontal="center" vertical="center" textRotation="180"/>
    </xf>
    <xf numFmtId="3" fontId="19" fillId="0" borderId="86" xfId="0" applyNumberFormat="1" applyFont="1" applyFill="1" applyBorder="1" applyAlignment="1">
      <alignment horizontal="center" vertical="center" textRotation="180"/>
    </xf>
    <xf numFmtId="3" fontId="19" fillId="0" borderId="35" xfId="0" applyNumberFormat="1" applyFont="1" applyFill="1" applyBorder="1" applyAlignment="1">
      <alignment horizontal="center" vertical="center" textRotation="180"/>
    </xf>
    <xf numFmtId="0" fontId="55" fillId="0" borderId="56" xfId="0" applyFont="1" applyBorder="1" applyAlignment="1">
      <alignment horizontal="center" vertical="center"/>
    </xf>
    <xf numFmtId="0" fontId="55" fillId="0" borderId="57" xfId="0" applyFont="1" applyBorder="1" applyAlignment="1">
      <alignment horizontal="center" vertical="center"/>
    </xf>
    <xf numFmtId="0" fontId="32" fillId="0" borderId="39"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12" xfId="0" applyFont="1" applyBorder="1" applyAlignment="1">
      <alignment horizontal="center" vertical="center" wrapText="1"/>
    </xf>
    <xf numFmtId="0" fontId="30" fillId="0" borderId="61" xfId="0" applyFont="1" applyBorder="1" applyAlignment="1">
      <alignment horizontal="center" vertical="center" wrapText="1"/>
    </xf>
    <xf numFmtId="0" fontId="30" fillId="0" borderId="78" xfId="0" applyFont="1" applyBorder="1" applyAlignment="1">
      <alignment horizontal="center" vertical="center" wrapText="1"/>
    </xf>
    <xf numFmtId="0" fontId="30" fillId="21" borderId="36" xfId="0" applyFont="1" applyFill="1" applyBorder="1" applyAlignment="1">
      <alignment horizontal="center" vertical="center" wrapText="1"/>
    </xf>
    <xf numFmtId="0" fontId="30" fillId="21" borderId="15" xfId="0" applyFont="1" applyFill="1" applyBorder="1" applyAlignment="1">
      <alignment horizontal="center" vertical="center" wrapText="1"/>
    </xf>
    <xf numFmtId="0" fontId="27" fillId="0" borderId="66" xfId="0" applyFont="1" applyBorder="1" applyAlignment="1">
      <alignment vertical="center" wrapText="1"/>
    </xf>
    <xf numFmtId="0" fontId="30" fillId="0" borderId="58" xfId="0" applyFont="1" applyBorder="1" applyAlignment="1">
      <alignment horizontal="center" vertical="center"/>
    </xf>
    <xf numFmtId="0" fontId="30" fillId="0" borderId="59" xfId="0" applyFont="1" applyBorder="1" applyAlignment="1">
      <alignment horizontal="center" vertical="center"/>
    </xf>
    <xf numFmtId="0" fontId="27" fillId="0" borderId="0" xfId="0" applyFont="1" applyAlignment="1">
      <alignment horizontal="left" vertical="center" wrapText="1"/>
    </xf>
    <xf numFmtId="0" fontId="30" fillId="0" borderId="0" xfId="0" applyFont="1" applyFill="1" applyBorder="1" applyAlignment="1">
      <alignment horizontal="center" vertical="center"/>
    </xf>
    <xf numFmtId="0" fontId="65" fillId="0" borderId="55" xfId="15" applyFont="1" applyBorder="1" applyAlignment="1">
      <alignment vertical="center"/>
    </xf>
    <xf numFmtId="0" fontId="64" fillId="0" borderId="55" xfId="15" applyFont="1" applyBorder="1" applyAlignment="1">
      <alignment vertical="top"/>
    </xf>
  </cellXfs>
  <cellStyles count="16">
    <cellStyle name="Accent1" xfId="1"/>
    <cellStyle name="Accent2" xfId="2"/>
    <cellStyle name="Accent3" xfId="3"/>
    <cellStyle name="Accent4" xfId="4"/>
    <cellStyle name="Accent5" xfId="5"/>
    <cellStyle name="Accent6" xfId="6"/>
    <cellStyle name="Bad" xfId="7"/>
    <cellStyle name="Calculation" xfId="8"/>
    <cellStyle name="Check Cell" xfId="9"/>
    <cellStyle name="Explanatory Text" xfId="10"/>
    <cellStyle name="Good" xfId="11"/>
    <cellStyle name="Hivatkozás" xfId="12" builtinId="8"/>
    <cellStyle name="Neutral" xfId="13"/>
    <cellStyle name="Normál" xfId="0" builtinId="0"/>
    <cellStyle name="Normal 2" xfId="14"/>
    <cellStyle name="Normál 2" xfId="15"/>
  </cellStyles>
  <dxfs count="2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c.europa.eu/programmes/erasmus-plus/tools/distance_en.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3300"/>
  </sheetPr>
  <dimension ref="A1:M5"/>
  <sheetViews>
    <sheetView showGridLines="0" tabSelected="1" zoomScale="142" zoomScaleNormal="142" workbookViewId="0">
      <selection activeCell="M16" sqref="M16"/>
    </sheetView>
  </sheetViews>
  <sheetFormatPr defaultRowHeight="12.75"/>
  <cols>
    <col min="9" max="9" width="9.140625" customWidth="1"/>
  </cols>
  <sheetData>
    <row r="1" spans="1:13" s="471" customFormat="1" ht="20.25" customHeight="1"/>
    <row r="2" spans="1:13" ht="13.5" customHeight="1"/>
    <row r="3" spans="1:13" ht="58.5" customHeight="1">
      <c r="A3" s="486" t="s">
        <v>497</v>
      </c>
      <c r="B3" s="486"/>
      <c r="C3" s="486"/>
      <c r="D3" s="486"/>
      <c r="E3" s="486"/>
      <c r="F3" s="486"/>
      <c r="G3" s="486"/>
      <c r="H3" s="486"/>
      <c r="I3" s="486"/>
      <c r="J3" s="486"/>
      <c r="K3" s="486"/>
      <c r="L3" s="486"/>
      <c r="M3" s="486"/>
    </row>
    <row r="4" spans="1:13" ht="15.75">
      <c r="A4" s="486" t="s">
        <v>333</v>
      </c>
      <c r="B4" s="486"/>
      <c r="C4" s="486"/>
      <c r="D4" s="486"/>
      <c r="E4" s="486"/>
      <c r="F4" s="486"/>
      <c r="G4" s="486"/>
      <c r="H4" s="486"/>
      <c r="I4" s="486"/>
      <c r="J4" s="486"/>
      <c r="K4" s="486"/>
      <c r="L4" s="486"/>
      <c r="M4" s="486"/>
    </row>
    <row r="5" spans="1:13" ht="58.5" customHeight="1">
      <c r="A5" s="471"/>
      <c r="B5" s="617" t="s">
        <v>523</v>
      </c>
      <c r="C5" s="471"/>
      <c r="D5" s="471"/>
      <c r="E5" s="471"/>
      <c r="F5" s="471"/>
      <c r="G5" s="471"/>
      <c r="H5" s="471"/>
      <c r="I5" s="471"/>
      <c r="J5" s="471"/>
      <c r="K5" s="471"/>
      <c r="L5" s="471"/>
      <c r="M5" s="471"/>
    </row>
  </sheetData>
  <sheetProtection algorithmName="SHA-512" hashValue="X6QaV7QfjHKe+5I/cfEA2DEZ/aYMOCnjlNlUjoDh/uE8ZFU+L0LmkyOUx2yewuVNfH58TaPNVWaTVawHulMoGQ==" saltValue="lrGGQD30w6a2b3cYf33GlA==" spinCount="100000" sheet="1" objects="1" scenarios="1"/>
  <mergeCells count="2">
    <mergeCell ref="A3:M3"/>
    <mergeCell ref="A4:M4"/>
  </mergeCells>
  <printOptions headings="1"/>
  <pageMargins left="0.7" right="0.7" top="0.75" bottom="0.75" header="0.3" footer="0.3"/>
  <pageSetup paperSize="9" scale="72" orientation="portrait" r:id="rId1"/>
  <headerFooter>
    <oddHeader>&amp;C2017. E+ KA202&amp;RVersion: 2017.02.16.. - TKA</oddHeader>
  </headerFooter>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zoomScale="85" zoomScaleNormal="85" zoomScalePageLayoutView="85" workbookViewId="0">
      <selection activeCell="AD28" sqref="AD28"/>
    </sheetView>
  </sheetViews>
  <sheetFormatPr defaultColWidth="8.85546875" defaultRowHeight="12.75"/>
  <cols>
    <col min="1" max="1" width="19.85546875" style="74" customWidth="1"/>
    <col min="2" max="2" width="12.7109375" style="75" bestFit="1" customWidth="1"/>
    <col min="3" max="3" width="7" style="56" customWidth="1"/>
    <col min="4" max="4" width="35.42578125" style="76" customWidth="1"/>
    <col min="5" max="5" width="10.85546875" style="56" customWidth="1"/>
    <col min="6" max="6" width="5.28515625" style="56" customWidth="1"/>
    <col min="7" max="7" width="5.140625" style="56" customWidth="1"/>
    <col min="8" max="8" width="10.42578125" style="56" customWidth="1"/>
    <col min="9" max="9" width="5.28515625" style="56" customWidth="1"/>
    <col min="10" max="10" width="5.85546875" style="56" customWidth="1"/>
    <col min="11" max="11" width="8.42578125" style="70" customWidth="1"/>
    <col min="12" max="12" width="17.28515625" style="77" bestFit="1" customWidth="1"/>
    <col min="13" max="13" width="5.28515625" style="56" customWidth="1"/>
    <col min="14" max="14" width="10" style="57" bestFit="1" customWidth="1"/>
    <col min="15" max="15" width="11.28515625" style="57" customWidth="1"/>
    <col min="16" max="16" width="10.7109375" style="57" customWidth="1"/>
    <col min="17" max="17" width="10.42578125" style="57" bestFit="1" customWidth="1"/>
    <col min="18" max="18" width="10.42578125" style="57" customWidth="1"/>
    <col min="19" max="19" width="9.42578125" style="57" customWidth="1"/>
    <col min="20" max="20" width="11.42578125" style="57" bestFit="1" customWidth="1"/>
    <col min="21" max="16384" width="8.85546875" style="70"/>
  </cols>
  <sheetData>
    <row r="1" spans="1:259" s="465" customFormat="1" ht="15.75">
      <c r="A1" s="188" t="s">
        <v>413</v>
      </c>
      <c r="B1" s="189"/>
      <c r="C1" s="463"/>
      <c r="D1" s="464"/>
      <c r="E1" s="572" t="s">
        <v>447</v>
      </c>
      <c r="F1" s="573"/>
      <c r="G1" s="573"/>
      <c r="H1" s="574"/>
      <c r="J1" s="578" t="s">
        <v>423</v>
      </c>
      <c r="K1" s="579"/>
      <c r="L1" s="579"/>
      <c r="M1" s="579"/>
      <c r="N1" s="579"/>
      <c r="O1" s="579"/>
      <c r="P1" s="579"/>
      <c r="Q1" s="579"/>
      <c r="R1" s="579"/>
      <c r="S1" s="58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68" t="s">
        <v>491</v>
      </c>
      <c r="C2" s="568"/>
      <c r="E2" s="575"/>
      <c r="F2" s="576"/>
      <c r="G2" s="576"/>
      <c r="H2" s="577"/>
      <c r="J2" s="581" t="s">
        <v>489</v>
      </c>
      <c r="K2" s="582"/>
      <c r="L2" s="582"/>
      <c r="M2" s="582"/>
      <c r="N2" s="582"/>
      <c r="O2" s="582"/>
      <c r="P2" s="582"/>
      <c r="Q2" s="582"/>
      <c r="R2" s="582"/>
      <c r="S2" s="583"/>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18" t="s">
        <v>483</v>
      </c>
      <c r="B4" s="520" t="s">
        <v>32</v>
      </c>
      <c r="C4" s="524" t="s">
        <v>324</v>
      </c>
      <c r="D4" s="555" t="s">
        <v>144</v>
      </c>
      <c r="E4" s="524" t="s">
        <v>404</v>
      </c>
      <c r="F4" s="561" t="s">
        <v>427</v>
      </c>
      <c r="G4" s="562"/>
      <c r="H4" s="524" t="s">
        <v>403</v>
      </c>
      <c r="I4" s="557" t="s">
        <v>428</v>
      </c>
      <c r="J4" s="558"/>
      <c r="K4" s="547" t="s">
        <v>486</v>
      </c>
      <c r="L4" s="545" t="s">
        <v>120</v>
      </c>
      <c r="M4" s="549" t="s">
        <v>487</v>
      </c>
      <c r="N4" s="543" t="s">
        <v>146</v>
      </c>
      <c r="O4" s="553" t="s">
        <v>330</v>
      </c>
      <c r="P4" s="554"/>
      <c r="Q4" s="543"/>
      <c r="R4" s="551" t="s">
        <v>328</v>
      </c>
      <c r="S4" s="552"/>
      <c r="T4" s="526"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19"/>
      <c r="B5" s="521"/>
      <c r="C5" s="525"/>
      <c r="D5" s="556"/>
      <c r="E5" s="525"/>
      <c r="F5" s="563"/>
      <c r="G5" s="564"/>
      <c r="H5" s="525"/>
      <c r="I5" s="559"/>
      <c r="J5" s="560"/>
      <c r="K5" s="548"/>
      <c r="L5" s="546"/>
      <c r="M5" s="550"/>
      <c r="N5" s="544"/>
      <c r="O5" s="197" t="s">
        <v>331</v>
      </c>
      <c r="P5" s="198" t="s">
        <v>405</v>
      </c>
      <c r="Q5" s="199" t="s">
        <v>329</v>
      </c>
      <c r="R5" s="276" t="s">
        <v>145</v>
      </c>
      <c r="S5" s="199" t="s">
        <v>329</v>
      </c>
      <c r="T5" s="527"/>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IF(OR(ISBLANK($D7),ISBLANK($K7)),"",IF(LEFT($D7,18)="Long-term teaching",VLOOKUP($K7,Subsistence,2,0)*14+VLOOKUP($K7,Subsistence,3,0)*46+IF($F7&gt;60,VLOOKUP($K7,Subsistence,4,0)*($F7-60),0),IF(LEFT($D7,18)="Short-term blended",IF($F7&lt;15,Ceilings!$S$6*$F7,Ceilings!$S$6*14+Ceilings!$S$7*($F7-14)),IF($F7&lt;15,Ceilings!$S$3*$F7,Ceilings!$S$3*14+Ceilings!$S$4*($F7-14)))))</f>
        <v/>
      </c>
      <c r="P7" s="232" t="str">
        <f>IF(OR(ISBLANK(D7),ISBLANK(H7),ISBLANK(K7)),"",IF(I7&lt;15,Ceilings!$S$3*I7,Ceilings!$S$3*14+Ceilings!$S$4*(I7-14)))</f>
        <v/>
      </c>
      <c r="Q7" s="230" t="str">
        <f>IF(O7="","",$E7*O7+IF(P7="",0,$H7*P7))</f>
        <v/>
      </c>
      <c r="R7" s="135"/>
      <c r="S7" s="332" t="str">
        <f>IF(OR(ISBLANK($D7),ISBLANK($K7),ISBLANK(R7)),"",Ceilings!$V$3*R7)</f>
        <v/>
      </c>
      <c r="T7" s="221" t="str">
        <f>IF(ISBLANK($A7),"",IF(OR(ISBLANK($C7),ISBLANK($D7),ISBLANK($E7),ISBLANK($K7)),"Missing data",SUM($N7,$Q7,$S7)))</f>
        <v/>
      </c>
    </row>
    <row r="8" spans="1:259" ht="15.75" customHeight="1">
      <c r="A8" s="32"/>
      <c r="B8" s="72" t="str">
        <f>IF(ISBLANK(A8),"",VLOOKUP(A8,Management!$A$11:$C$25,2,0))</f>
        <v/>
      </c>
      <c r="C8" s="60"/>
      <c r="D8" s="79"/>
      <c r="E8" s="60"/>
      <c r="F8" s="274"/>
      <c r="G8" s="141" t="str">
        <f t="shared" ref="G8:G37" si="0">IF(ISBLANK($D8),"","days")</f>
        <v/>
      </c>
      <c r="H8" s="136"/>
      <c r="I8" s="274"/>
      <c r="J8" s="141" t="str">
        <f t="shared" ref="J8:J37" si="1">IF(ISBLANK($D8),"","days")</f>
        <v/>
      </c>
      <c r="K8" s="102"/>
      <c r="L8" s="458"/>
      <c r="M8" s="459"/>
      <c r="N8" s="316" t="str">
        <f t="shared" ref="N8:N37" si="2">IF(ISBLANK(L8),"",SUM(E8,H8)*VLOOKUP(L8,TravelGrant,2,0))</f>
        <v/>
      </c>
      <c r="O8" s="234" t="str">
        <f>IF(OR(ISBLANK($D8),ISBLANK($K8)),"",IF(LEFT($D8,18)="Long-term teaching",VLOOKUP($K8,Subsistence,2,0)*14+VLOOKUP($K8,Subsistence,3,0)*46+IF($F8&gt;60,VLOOKUP($K8,Subsistence,4,0)*($F8-60),0),IF(LEFT($D8,18)="Short-term blended",IF($F8&lt;15,Ceilings!$S$6*$F8,Ceilings!$S$6*14+Ceilings!$S$7*($F8-14)),IF($F8&lt;15,Ceilings!$S$3*$F8,Ceilings!$S$3*14+Ceilings!$S$4*($F8-14)))))</f>
        <v/>
      </c>
      <c r="P8" s="235" t="str">
        <f>IF(OR(ISBLANK(D8),ISBLANK(H8),ISBLANK(K8)),"",IF(I8&lt;15,Ceilings!$S$3*I8,Ceilings!$S$3*14+Ceilings!$S$4*(I8-14)))</f>
        <v/>
      </c>
      <c r="Q8" s="233" t="str">
        <f t="shared" ref="Q8:Q37" si="3">IF(O8="","",$E8*O8+IF(P8="",0,$H8*P8))</f>
        <v/>
      </c>
      <c r="R8" s="136"/>
      <c r="S8" s="333" t="str">
        <f>IF(OR(ISBLANK($D8),ISBLANK($K8),ISBLANK(R8)),"",Ceilings!$V$3*R8)</f>
        <v/>
      </c>
      <c r="T8" s="93" t="str">
        <f t="shared" ref="T8:T37" si="4">IF(ISBLANK($A8),"",IF(OR(ISBLANK($C8),ISBLANK($D8),ISBLANK($E8),ISBLANK($K8)),"Missing data",SUM($N8,$Q8,$S8)))</f>
        <v/>
      </c>
    </row>
    <row r="9" spans="1:259" ht="15.75" customHeight="1">
      <c r="A9" s="32"/>
      <c r="B9" s="72" t="str">
        <f>IF(ISBLANK(A9),"",VLOOKUP(A9,Management!$A$11:$C$25,2,0))</f>
        <v/>
      </c>
      <c r="C9" s="60"/>
      <c r="D9" s="79"/>
      <c r="E9" s="60"/>
      <c r="F9" s="274"/>
      <c r="G9" s="141" t="str">
        <f t="shared" si="0"/>
        <v/>
      </c>
      <c r="H9" s="136"/>
      <c r="I9" s="274"/>
      <c r="J9" s="141" t="str">
        <f t="shared" si="1"/>
        <v/>
      </c>
      <c r="K9" s="102"/>
      <c r="L9" s="458"/>
      <c r="M9" s="459"/>
      <c r="N9" s="316" t="str">
        <f t="shared" si="2"/>
        <v/>
      </c>
      <c r="O9" s="234" t="str">
        <f>IF(OR(ISBLANK($D9),ISBLANK($K9)),"",IF(LEFT($D9,18)="Long-term teaching",VLOOKUP($K9,Subsistence,2,0)*14+VLOOKUP($K9,Subsistence,3,0)*46+IF($F9&gt;60,VLOOKUP($K9,Subsistence,4,0)*($F9-60),0),IF(LEFT($D9,18)="Short-term blended",IF($F9&lt;15,Ceilings!$S$6*$F9,Ceilings!$S$6*14+Ceilings!$S$7*($F9-14)),IF($F9&lt;15,Ceilings!$S$3*$F9,Ceilings!$S$3*14+Ceilings!$S$4*($F9-14)))))</f>
        <v/>
      </c>
      <c r="P9" s="235" t="str">
        <f>IF(OR(ISBLANK(D9),ISBLANK(H9),ISBLANK(K9)),"",IF(I9&lt;15,Ceilings!$S$3*I9,Ceilings!$S$3*14+Ceilings!$S$4*(I9-14)))</f>
        <v/>
      </c>
      <c r="Q9" s="233" t="str">
        <f t="shared" si="3"/>
        <v/>
      </c>
      <c r="R9" s="136"/>
      <c r="S9" s="333" t="str">
        <f>IF(OR(ISBLANK($D9),ISBLANK($K9),ISBLANK(R9)),"",Ceilings!$V$3*R9)</f>
        <v/>
      </c>
      <c r="T9" s="93" t="str">
        <f t="shared" si="4"/>
        <v/>
      </c>
    </row>
    <row r="10" spans="1:259" ht="15.75" customHeight="1">
      <c r="A10" s="32"/>
      <c r="B10" s="72" t="str">
        <f>IF(ISBLANK(A10),"",VLOOKUP(A10,Management!$A$11:$C$25,2,0))</f>
        <v/>
      </c>
      <c r="C10" s="60"/>
      <c r="D10" s="79"/>
      <c r="E10" s="60"/>
      <c r="F10" s="274"/>
      <c r="G10" s="141" t="str">
        <f t="shared" si="0"/>
        <v/>
      </c>
      <c r="H10" s="136"/>
      <c r="I10" s="274"/>
      <c r="J10" s="141" t="str">
        <f t="shared" si="1"/>
        <v/>
      </c>
      <c r="K10" s="102"/>
      <c r="L10" s="458"/>
      <c r="M10" s="459"/>
      <c r="N10" s="316" t="str">
        <f t="shared" si="2"/>
        <v/>
      </c>
      <c r="O10" s="234" t="str">
        <f>IF(OR(ISBLANK($D10),ISBLANK($K10)),"",IF(LEFT($D10,18)="Long-term teaching",VLOOKUP($K10,Subsistence,2,0)*14+VLOOKUP($K10,Subsistence,3,0)*46+IF($F10&gt;60,VLOOKUP($K10,Subsistence,4,0)*($F10-60),0),IF(LEFT($D10,18)="Short-term blended",IF($F10&lt;15,Ceilings!$S$6*$F10,Ceilings!$S$6*14+Ceilings!$S$7*($F10-14)),IF($F10&lt;15,Ceilings!$S$3*$F10,Ceilings!$S$3*14+Ceilings!$S$4*($F10-14)))))</f>
        <v/>
      </c>
      <c r="P10" s="235" t="str">
        <f>IF(OR(ISBLANK(D10),ISBLANK(H10),ISBLANK(K10)),"",IF(I10&lt;15,Ceilings!$S$3*I10,Ceilings!$S$3*14+Ceilings!$S$4*(I10-14)))</f>
        <v/>
      </c>
      <c r="Q10" s="233" t="str">
        <f t="shared" si="3"/>
        <v/>
      </c>
      <c r="R10" s="136"/>
      <c r="S10" s="333" t="str">
        <f>IF(OR(ISBLANK($D10),ISBLANK($K10),ISBLANK(R10)),"",Ceilings!$V$3*R10)</f>
        <v/>
      </c>
      <c r="T10" s="93" t="str">
        <f t="shared" si="4"/>
        <v/>
      </c>
    </row>
    <row r="11" spans="1:259" ht="15.75" customHeight="1">
      <c r="A11" s="32"/>
      <c r="B11" s="72" t="str">
        <f>IF(ISBLANK(A11),"",VLOOKUP(A11,Management!$A$11:$C$25,2,0))</f>
        <v/>
      </c>
      <c r="C11" s="60"/>
      <c r="D11" s="79"/>
      <c r="E11" s="60"/>
      <c r="F11" s="274"/>
      <c r="G11" s="141" t="str">
        <f t="shared" si="0"/>
        <v/>
      </c>
      <c r="H11" s="136"/>
      <c r="I11" s="274"/>
      <c r="J11" s="141" t="str">
        <f t="shared" si="1"/>
        <v/>
      </c>
      <c r="K11" s="102"/>
      <c r="L11" s="458"/>
      <c r="M11" s="459"/>
      <c r="N11" s="316" t="str">
        <f t="shared" si="2"/>
        <v/>
      </c>
      <c r="O11" s="234" t="str">
        <f>IF(OR(ISBLANK($D11),ISBLANK($K11)),"",IF(LEFT($D11,18)="Long-term teaching",VLOOKUP($K11,Subsistence,2,0)*14+VLOOKUP($K11,Subsistence,3,0)*46+IF($F11&gt;60,VLOOKUP($K11,Subsistence,4,0)*($F11-60),0),IF(LEFT($D11,18)="Short-term blended",IF($F11&lt;15,Ceilings!$S$6*$F11,Ceilings!$S$6*14+Ceilings!$S$7*($F11-14)),IF($F11&lt;15,Ceilings!$S$3*$F11,Ceilings!$S$3*14+Ceilings!$S$4*($F11-14)))))</f>
        <v/>
      </c>
      <c r="P11" s="235" t="str">
        <f>IF(OR(ISBLANK(D11),ISBLANK(H11),ISBLANK(K11)),"",IF(I11&lt;15,Ceilings!$S$3*I11,Ceilings!$S$3*14+Ceilings!$S$4*(I11-14)))</f>
        <v/>
      </c>
      <c r="Q11" s="233" t="str">
        <f t="shared" si="3"/>
        <v/>
      </c>
      <c r="R11" s="136"/>
      <c r="S11" s="333" t="str">
        <f>IF(OR(ISBLANK($D11),ISBLANK($K11),ISBLANK(R11)),"",Ceilings!$V$3*R11)</f>
        <v/>
      </c>
      <c r="T11" s="93" t="str">
        <f t="shared" si="4"/>
        <v/>
      </c>
    </row>
    <row r="12" spans="1:259" ht="15.75" customHeight="1">
      <c r="A12" s="32"/>
      <c r="B12" s="72" t="str">
        <f>IF(ISBLANK(A12),"",VLOOKUP(A12,Management!$A$11:$C$25,2,0))</f>
        <v/>
      </c>
      <c r="C12" s="60"/>
      <c r="D12" s="79"/>
      <c r="E12" s="60"/>
      <c r="F12" s="274"/>
      <c r="G12" s="141" t="str">
        <f t="shared" si="0"/>
        <v/>
      </c>
      <c r="H12" s="136"/>
      <c r="I12" s="274"/>
      <c r="J12" s="141" t="str">
        <f t="shared" si="1"/>
        <v/>
      </c>
      <c r="K12" s="102"/>
      <c r="L12" s="458"/>
      <c r="M12" s="459"/>
      <c r="N12" s="316" t="str">
        <f t="shared" si="2"/>
        <v/>
      </c>
      <c r="O12" s="234" t="str">
        <f>IF(OR(ISBLANK($D12),ISBLANK($K12)),"",IF(LEFT($D12,18)="Long-term teaching",VLOOKUP($K12,Subsistence,2,0)*14+VLOOKUP($K12,Subsistence,3,0)*46+IF($F12&gt;60,VLOOKUP($K12,Subsistence,4,0)*($F12-60),0),IF(LEFT($D12,18)="Short-term blended",IF($F12&lt;15,Ceilings!$S$6*$F12,Ceilings!$S$6*14+Ceilings!$S$7*($F12-14)),IF($F12&lt;15,Ceilings!$S$3*$F12,Ceilings!$S$3*14+Ceilings!$S$4*($F12-14)))))</f>
        <v/>
      </c>
      <c r="P12" s="235" t="str">
        <f>IF(OR(ISBLANK(D12),ISBLANK(H12),ISBLANK(K12)),"",IF(I12&lt;15,Ceilings!$S$3*I12,Ceilings!$S$3*14+Ceilings!$S$4*(I12-14)))</f>
        <v/>
      </c>
      <c r="Q12" s="233" t="str">
        <f t="shared" si="3"/>
        <v/>
      </c>
      <c r="R12" s="136"/>
      <c r="S12" s="333" t="str">
        <f>IF(OR(ISBLANK($D12),ISBLANK($K12),ISBLANK(R12)),"",Ceilings!$V$3*R12)</f>
        <v/>
      </c>
      <c r="T12" s="93" t="str">
        <f t="shared" si="4"/>
        <v/>
      </c>
    </row>
    <row r="13" spans="1:259" ht="15.75" customHeight="1">
      <c r="A13" s="32"/>
      <c r="B13" s="72" t="str">
        <f>IF(ISBLANK(A13),"",VLOOKUP(A13,Management!$A$11:$C$25,2,0))</f>
        <v/>
      </c>
      <c r="C13" s="60"/>
      <c r="D13" s="79"/>
      <c r="E13" s="60"/>
      <c r="F13" s="274"/>
      <c r="G13" s="141" t="str">
        <f t="shared" si="0"/>
        <v/>
      </c>
      <c r="H13" s="136"/>
      <c r="I13" s="274"/>
      <c r="J13" s="141" t="str">
        <f t="shared" si="1"/>
        <v/>
      </c>
      <c r="K13" s="102"/>
      <c r="L13" s="458"/>
      <c r="M13" s="459"/>
      <c r="N13" s="316" t="str">
        <f t="shared" si="2"/>
        <v/>
      </c>
      <c r="O13" s="234" t="str">
        <f>IF(OR(ISBLANK($D13),ISBLANK($K13)),"",IF(LEFT($D13,18)="Long-term teaching",VLOOKUP($K13,Subsistence,2,0)*14+VLOOKUP($K13,Subsistence,3,0)*46+IF($F13&gt;60,VLOOKUP($K13,Subsistence,4,0)*($F13-60),0),IF(LEFT($D13,18)="Short-term blended",IF($F13&lt;15,Ceilings!$S$6*$F13,Ceilings!$S$6*14+Ceilings!$S$7*($F13-14)),IF($F13&lt;15,Ceilings!$S$3*$F13,Ceilings!$S$3*14+Ceilings!$S$4*($F13-14)))))</f>
        <v/>
      </c>
      <c r="P13" s="235" t="str">
        <f>IF(OR(ISBLANK(D13),ISBLANK(H13),ISBLANK(K13)),"",IF(I13&lt;15,Ceilings!$S$3*I13,Ceilings!$S$3*14+Ceilings!$S$4*(I13-14)))</f>
        <v/>
      </c>
      <c r="Q13" s="233" t="str">
        <f t="shared" si="3"/>
        <v/>
      </c>
      <c r="R13" s="136"/>
      <c r="S13" s="333" t="str">
        <f>IF(OR(ISBLANK($D13),ISBLANK($K13),ISBLANK(R13)),"",Ceilings!$V$3*R13)</f>
        <v/>
      </c>
      <c r="T13" s="93" t="str">
        <f t="shared" si="4"/>
        <v/>
      </c>
    </row>
    <row r="14" spans="1:259" ht="15.75" customHeight="1">
      <c r="A14" s="32"/>
      <c r="B14" s="72" t="str">
        <f>IF(ISBLANK(A14),"",VLOOKUP(A14,Management!$A$11:$C$25,2,0))</f>
        <v/>
      </c>
      <c r="C14" s="60"/>
      <c r="D14" s="79"/>
      <c r="E14" s="60"/>
      <c r="F14" s="274"/>
      <c r="G14" s="141" t="str">
        <f t="shared" si="0"/>
        <v/>
      </c>
      <c r="H14" s="136"/>
      <c r="I14" s="274"/>
      <c r="J14" s="141" t="str">
        <f t="shared" si="1"/>
        <v/>
      </c>
      <c r="K14" s="102"/>
      <c r="L14" s="458"/>
      <c r="M14" s="459"/>
      <c r="N14" s="316" t="str">
        <f t="shared" si="2"/>
        <v/>
      </c>
      <c r="O14" s="234" t="str">
        <f>IF(OR(ISBLANK($D14),ISBLANK($K14)),"",IF(LEFT($D14,18)="Long-term teaching",VLOOKUP($K14,Subsistence,2,0)*14+VLOOKUP($K14,Subsistence,3,0)*46+IF($F14&gt;60,VLOOKUP($K14,Subsistence,4,0)*($F14-60),0),IF(LEFT($D14,18)="Short-term blended",IF($F14&lt;15,Ceilings!$S$6*$F14,Ceilings!$S$6*14+Ceilings!$S$7*($F14-14)),IF($F14&lt;15,Ceilings!$S$3*$F14,Ceilings!$S$3*14+Ceilings!$S$4*($F14-14)))))</f>
        <v/>
      </c>
      <c r="P14" s="235" t="str">
        <f>IF(OR(ISBLANK(D14),ISBLANK(H14),ISBLANK(K14)),"",IF(I14&lt;15,Ceilings!$S$3*I14,Ceilings!$S$3*14+Ceilings!$S$4*(I14-14)))</f>
        <v/>
      </c>
      <c r="Q14" s="233" t="str">
        <f t="shared" si="3"/>
        <v/>
      </c>
      <c r="R14" s="136"/>
      <c r="S14" s="333" t="str">
        <f>IF(OR(ISBLANK($D14),ISBLANK($K14),ISBLANK(R14)),"",Ceilings!$V$3*R14)</f>
        <v/>
      </c>
      <c r="T14" s="93" t="str">
        <f t="shared" si="4"/>
        <v/>
      </c>
    </row>
    <row r="15" spans="1:259" ht="15.75" customHeight="1">
      <c r="A15" s="32"/>
      <c r="B15" s="72" t="str">
        <f>IF(ISBLANK(A15),"",VLOOKUP(A15,Management!$A$11:$C$25,2,0))</f>
        <v/>
      </c>
      <c r="C15" s="60"/>
      <c r="D15" s="79"/>
      <c r="E15" s="60"/>
      <c r="F15" s="274"/>
      <c r="G15" s="141" t="str">
        <f t="shared" si="0"/>
        <v/>
      </c>
      <c r="H15" s="136"/>
      <c r="I15" s="274"/>
      <c r="J15" s="141" t="str">
        <f t="shared" si="1"/>
        <v/>
      </c>
      <c r="K15" s="102"/>
      <c r="L15" s="458"/>
      <c r="M15" s="459"/>
      <c r="N15" s="316" t="str">
        <f t="shared" si="2"/>
        <v/>
      </c>
      <c r="O15" s="234" t="str">
        <f>IF(OR(ISBLANK($D15),ISBLANK($K15)),"",IF(LEFT($D15,18)="Long-term teaching",VLOOKUP($K15,Subsistence,2,0)*14+VLOOKUP($K15,Subsistence,3,0)*46+IF($F15&gt;60,VLOOKUP($K15,Subsistence,4,0)*($F15-60),0),IF(LEFT($D15,18)="Short-term blended",IF($F15&lt;15,Ceilings!$S$6*$F15,Ceilings!$S$6*14+Ceilings!$S$7*($F15-14)),IF($F15&lt;15,Ceilings!$S$3*$F15,Ceilings!$S$3*14+Ceilings!$S$4*($F15-14)))))</f>
        <v/>
      </c>
      <c r="P15" s="235" t="str">
        <f>IF(OR(ISBLANK(D15),ISBLANK(H15),ISBLANK(K15)),"",IF(I15&lt;15,Ceilings!$S$3*I15,Ceilings!$S$3*14+Ceilings!$S$4*(I15-14)))</f>
        <v/>
      </c>
      <c r="Q15" s="233" t="str">
        <f t="shared" si="3"/>
        <v/>
      </c>
      <c r="R15" s="136"/>
      <c r="S15" s="333" t="str">
        <f>IF(OR(ISBLANK($D15),ISBLANK($K15),ISBLANK(R15)),"",Ceilings!$V$3*R15)</f>
        <v/>
      </c>
      <c r="T15" s="93" t="str">
        <f t="shared" si="4"/>
        <v/>
      </c>
    </row>
    <row r="16" spans="1:259" ht="15.75" customHeight="1">
      <c r="A16" s="32"/>
      <c r="B16" s="72" t="str">
        <f>IF(ISBLANK(A16),"",VLOOKUP(A16,Management!$A$11:$C$25,2,0))</f>
        <v/>
      </c>
      <c r="C16" s="60"/>
      <c r="D16" s="79"/>
      <c r="E16" s="60"/>
      <c r="F16" s="274"/>
      <c r="G16" s="141" t="str">
        <f t="shared" si="0"/>
        <v/>
      </c>
      <c r="H16" s="136"/>
      <c r="I16" s="274"/>
      <c r="J16" s="141" t="str">
        <f t="shared" si="1"/>
        <v/>
      </c>
      <c r="K16" s="102"/>
      <c r="L16" s="458"/>
      <c r="M16" s="459"/>
      <c r="N16" s="316" t="str">
        <f t="shared" si="2"/>
        <v/>
      </c>
      <c r="O16" s="234" t="str">
        <f>IF(OR(ISBLANK($D16),ISBLANK($K16)),"",IF(LEFT($D16,18)="Long-term teaching",VLOOKUP($K16,Subsistence,2,0)*14+VLOOKUP($K16,Subsistence,3,0)*46+IF($F16&gt;60,VLOOKUP($K16,Subsistence,4,0)*($F16-60),0),IF(LEFT($D16,18)="Short-term blended",IF($F16&lt;15,Ceilings!$S$6*$F16,Ceilings!$S$6*14+Ceilings!$S$7*($F16-14)),IF($F16&lt;15,Ceilings!$S$3*$F16,Ceilings!$S$3*14+Ceilings!$S$4*($F16-14)))))</f>
        <v/>
      </c>
      <c r="P16" s="235" t="str">
        <f>IF(OR(ISBLANK(D16),ISBLANK(H16),ISBLANK(K16)),"",IF(I16&lt;15,Ceilings!$S$3*I16,Ceilings!$S$3*14+Ceilings!$S$4*(I16-14)))</f>
        <v/>
      </c>
      <c r="Q16" s="233" t="str">
        <f t="shared" si="3"/>
        <v/>
      </c>
      <c r="R16" s="136"/>
      <c r="S16" s="333" t="str">
        <f>IF(OR(ISBLANK($D16),ISBLANK($K16),ISBLANK(R16)),"",Ceilings!$V$3*R16)</f>
        <v/>
      </c>
      <c r="T16" s="93" t="str">
        <f t="shared" si="4"/>
        <v/>
      </c>
    </row>
    <row r="17" spans="1:20" ht="15.75" customHeight="1">
      <c r="A17" s="32"/>
      <c r="B17" s="72" t="str">
        <f>IF(ISBLANK(A17),"",VLOOKUP(A17,Management!$A$11:$C$25,2,0))</f>
        <v/>
      </c>
      <c r="C17" s="60"/>
      <c r="D17" s="79"/>
      <c r="E17" s="60"/>
      <c r="F17" s="274"/>
      <c r="G17" s="141" t="str">
        <f t="shared" si="0"/>
        <v/>
      </c>
      <c r="H17" s="136"/>
      <c r="I17" s="274"/>
      <c r="J17" s="141" t="str">
        <f t="shared" si="1"/>
        <v/>
      </c>
      <c r="K17" s="102"/>
      <c r="L17" s="458"/>
      <c r="M17" s="459"/>
      <c r="N17" s="316" t="str">
        <f t="shared" si="2"/>
        <v/>
      </c>
      <c r="O17" s="234" t="str">
        <f>IF(OR(ISBLANK($D17),ISBLANK($K17)),"",IF(LEFT($D17,18)="Long-term teaching",VLOOKUP($K17,Subsistence,2,0)*14+VLOOKUP($K17,Subsistence,3,0)*46+IF($F17&gt;60,VLOOKUP($K17,Subsistence,4,0)*($F17-60),0),IF(LEFT($D17,18)="Short-term blended",IF($F17&lt;15,Ceilings!$S$6*$F17,Ceilings!$S$6*14+Ceilings!$S$7*($F17-14)),IF($F17&lt;15,Ceilings!$S$3*$F17,Ceilings!$S$3*14+Ceilings!$S$4*($F17-14)))))</f>
        <v/>
      </c>
      <c r="P17" s="235" t="str">
        <f>IF(OR(ISBLANK(D17),ISBLANK(H17),ISBLANK(K17)),"",IF(I17&lt;15,Ceilings!$S$3*I17,Ceilings!$S$3*14+Ceilings!$S$4*(I17-14)))</f>
        <v/>
      </c>
      <c r="Q17" s="233" t="str">
        <f t="shared" si="3"/>
        <v/>
      </c>
      <c r="R17" s="136"/>
      <c r="S17" s="333" t="str">
        <f>IF(OR(ISBLANK($D17),ISBLANK($K17),ISBLANK(R17)),"",Ceilings!$V$3*R17)</f>
        <v/>
      </c>
      <c r="T17" s="93" t="str">
        <f t="shared" si="4"/>
        <v/>
      </c>
    </row>
    <row r="18" spans="1:20" ht="15.75" customHeight="1">
      <c r="A18" s="32"/>
      <c r="B18" s="72" t="str">
        <f>IF(ISBLANK(A18),"",VLOOKUP(A18,Management!$A$11:$C$25,2,0))</f>
        <v/>
      </c>
      <c r="C18" s="60"/>
      <c r="D18" s="79"/>
      <c r="E18" s="60"/>
      <c r="F18" s="274"/>
      <c r="G18" s="141" t="str">
        <f t="shared" si="0"/>
        <v/>
      </c>
      <c r="H18" s="136"/>
      <c r="I18" s="274"/>
      <c r="J18" s="141" t="str">
        <f t="shared" si="1"/>
        <v/>
      </c>
      <c r="K18" s="102"/>
      <c r="L18" s="458"/>
      <c r="M18" s="459"/>
      <c r="N18" s="316" t="str">
        <f t="shared" si="2"/>
        <v/>
      </c>
      <c r="O18" s="234" t="str">
        <f>IF(OR(ISBLANK($D18),ISBLANK($K18)),"",IF(LEFT($D18,18)="Long-term teaching",VLOOKUP($K18,Subsistence,2,0)*14+VLOOKUP($K18,Subsistence,3,0)*46+IF($F18&gt;60,VLOOKUP($K18,Subsistence,4,0)*($F18-60),0),IF(LEFT($D18,18)="Short-term blended",IF($F18&lt;15,Ceilings!$S$6*$F18,Ceilings!$S$6*14+Ceilings!$S$7*($F18-14)),IF($F18&lt;15,Ceilings!$S$3*$F18,Ceilings!$S$3*14+Ceilings!$S$4*($F18-14)))))</f>
        <v/>
      </c>
      <c r="P18" s="235" t="str">
        <f>IF(OR(ISBLANK(D18),ISBLANK(H18),ISBLANK(K18)),"",IF(I18&lt;15,Ceilings!$S$3*I18,Ceilings!$S$3*14+Ceilings!$S$4*(I18-14)))</f>
        <v/>
      </c>
      <c r="Q18" s="233" t="str">
        <f t="shared" si="3"/>
        <v/>
      </c>
      <c r="R18" s="136"/>
      <c r="S18" s="333" t="str">
        <f>IF(OR(ISBLANK($D18),ISBLANK($K18),ISBLANK(R18)),"",Ceilings!$V$3*R18)</f>
        <v/>
      </c>
      <c r="T18" s="93" t="str">
        <f t="shared" si="4"/>
        <v/>
      </c>
    </row>
    <row r="19" spans="1:20" ht="15.75" customHeight="1">
      <c r="A19" s="32"/>
      <c r="B19" s="72" t="str">
        <f>IF(ISBLANK(A19),"",VLOOKUP(A19,Management!$A$11:$C$25,2,0))</f>
        <v/>
      </c>
      <c r="C19" s="60"/>
      <c r="D19" s="79"/>
      <c r="E19" s="60"/>
      <c r="F19" s="274"/>
      <c r="G19" s="141" t="str">
        <f t="shared" si="0"/>
        <v/>
      </c>
      <c r="H19" s="136"/>
      <c r="I19" s="274"/>
      <c r="J19" s="141" t="str">
        <f t="shared" si="1"/>
        <v/>
      </c>
      <c r="K19" s="102"/>
      <c r="L19" s="458"/>
      <c r="M19" s="459"/>
      <c r="N19" s="316" t="str">
        <f t="shared" si="2"/>
        <v/>
      </c>
      <c r="O19" s="234" t="str">
        <f>IF(OR(ISBLANK($D19),ISBLANK($K19)),"",IF(LEFT($D19,18)="Long-term teaching",VLOOKUP($K19,Subsistence,2,0)*14+VLOOKUP($K19,Subsistence,3,0)*46+IF($F19&gt;60,VLOOKUP($K19,Subsistence,4,0)*($F19-60),0),IF(LEFT($D19,18)="Short-term blended",IF($F19&lt;15,Ceilings!$S$6*$F19,Ceilings!$S$6*14+Ceilings!$S$7*($F19-14)),IF($F19&lt;15,Ceilings!$S$3*$F19,Ceilings!$S$3*14+Ceilings!$S$4*($F19-14)))))</f>
        <v/>
      </c>
      <c r="P19" s="235" t="str">
        <f>IF(OR(ISBLANK(D19),ISBLANK(H19),ISBLANK(K19)),"",IF(I19&lt;15,Ceilings!$S$3*I19,Ceilings!$S$3*14+Ceilings!$S$4*(I19-14)))</f>
        <v/>
      </c>
      <c r="Q19" s="233" t="str">
        <f t="shared" si="3"/>
        <v/>
      </c>
      <c r="R19" s="136"/>
      <c r="S19" s="333" t="str">
        <f>IF(OR(ISBLANK($D19),ISBLANK($K19),ISBLANK(R19)),"",Ceilings!$V$3*R19)</f>
        <v/>
      </c>
      <c r="T19" s="93" t="str">
        <f t="shared" si="4"/>
        <v/>
      </c>
    </row>
    <row r="20" spans="1:20" ht="15.75" customHeight="1">
      <c r="A20" s="32"/>
      <c r="B20" s="72" t="str">
        <f>IF(ISBLANK(A20),"",VLOOKUP(A20,Management!$A$11:$C$25,2,0))</f>
        <v/>
      </c>
      <c r="C20" s="60"/>
      <c r="D20" s="79"/>
      <c r="E20" s="60"/>
      <c r="F20" s="274"/>
      <c r="G20" s="141" t="str">
        <f t="shared" si="0"/>
        <v/>
      </c>
      <c r="H20" s="136"/>
      <c r="I20" s="274"/>
      <c r="J20" s="141" t="str">
        <f t="shared" si="1"/>
        <v/>
      </c>
      <c r="K20" s="102"/>
      <c r="L20" s="458"/>
      <c r="M20" s="459"/>
      <c r="N20" s="316" t="str">
        <f t="shared" si="2"/>
        <v/>
      </c>
      <c r="O20" s="234" t="str">
        <f>IF(OR(ISBLANK($D20),ISBLANK($K20)),"",IF(LEFT($D20,18)="Long-term teaching",VLOOKUP($K20,Subsistence,2,0)*14+VLOOKUP($K20,Subsistence,3,0)*46+IF($F20&gt;60,VLOOKUP($K20,Subsistence,4,0)*($F20-60),0),IF(LEFT($D20,18)="Short-term blended",IF($F20&lt;15,Ceilings!$S$6*$F20,Ceilings!$S$6*14+Ceilings!$S$7*($F20-14)),IF($F20&lt;15,Ceilings!$S$3*$F20,Ceilings!$S$3*14+Ceilings!$S$4*($F20-14)))))</f>
        <v/>
      </c>
      <c r="P20" s="235" t="str">
        <f>IF(OR(ISBLANK(D20),ISBLANK(H20),ISBLANK(K20)),"",IF(I20&lt;15,Ceilings!$S$3*I20,Ceilings!$S$3*14+Ceilings!$S$4*(I20-14)))</f>
        <v/>
      </c>
      <c r="Q20" s="233" t="str">
        <f t="shared" si="3"/>
        <v/>
      </c>
      <c r="R20" s="136"/>
      <c r="S20" s="333" t="str">
        <f>IF(OR(ISBLANK($D20),ISBLANK($K20),ISBLANK(R20)),"",Ceilings!$V$3*R20)</f>
        <v/>
      </c>
      <c r="T20" s="93" t="str">
        <f t="shared" si="4"/>
        <v/>
      </c>
    </row>
    <row r="21" spans="1:20" ht="15.75" customHeight="1">
      <c r="A21" s="32"/>
      <c r="B21" s="72" t="str">
        <f>IF(ISBLANK(A21),"",VLOOKUP(A21,Management!$A$11:$C$25,2,0))</f>
        <v/>
      </c>
      <c r="C21" s="60"/>
      <c r="D21" s="79"/>
      <c r="E21" s="60"/>
      <c r="F21" s="274"/>
      <c r="G21" s="141" t="str">
        <f t="shared" si="0"/>
        <v/>
      </c>
      <c r="H21" s="136"/>
      <c r="I21" s="274"/>
      <c r="J21" s="141" t="str">
        <f t="shared" si="1"/>
        <v/>
      </c>
      <c r="K21" s="102"/>
      <c r="L21" s="458"/>
      <c r="M21" s="459"/>
      <c r="N21" s="316" t="str">
        <f t="shared" si="2"/>
        <v/>
      </c>
      <c r="O21" s="234" t="str">
        <f>IF(OR(ISBLANK($D21),ISBLANK($K21)),"",IF(LEFT($D21,18)="Long-term teaching",VLOOKUP($K21,Subsistence,2,0)*14+VLOOKUP($K21,Subsistence,3,0)*46+IF($F21&gt;60,VLOOKUP($K21,Subsistence,4,0)*($F21-60),0),IF(LEFT($D21,18)="Short-term blended",IF($F21&lt;15,Ceilings!$S$6*$F21,Ceilings!$S$6*14+Ceilings!$S$7*($F21-14)),IF($F21&lt;15,Ceilings!$S$3*$F21,Ceilings!$S$3*14+Ceilings!$S$4*($F21-14)))))</f>
        <v/>
      </c>
      <c r="P21" s="235" t="str">
        <f>IF(OR(ISBLANK(D21),ISBLANK(H21),ISBLANK(K21)),"",IF(I21&lt;15,Ceilings!$S$3*I21,Ceilings!$S$3*14+Ceilings!$S$4*(I21-14)))</f>
        <v/>
      </c>
      <c r="Q21" s="233" t="str">
        <f t="shared" si="3"/>
        <v/>
      </c>
      <c r="R21" s="136"/>
      <c r="S21" s="333" t="str">
        <f>IF(OR(ISBLANK($D21),ISBLANK($K21),ISBLANK(R21)),"",Ceilings!$V$3*R21)</f>
        <v/>
      </c>
      <c r="T21" s="93" t="str">
        <f t="shared" si="4"/>
        <v/>
      </c>
    </row>
    <row r="22" spans="1:20" ht="15.75" customHeight="1">
      <c r="A22" s="32"/>
      <c r="B22" s="72" t="str">
        <f>IF(ISBLANK(A22),"",VLOOKUP(A22,Management!$A$11:$C$25,2,0))</f>
        <v/>
      </c>
      <c r="C22" s="60"/>
      <c r="D22" s="79"/>
      <c r="E22" s="60"/>
      <c r="F22" s="274"/>
      <c r="G22" s="141" t="str">
        <f t="shared" si="0"/>
        <v/>
      </c>
      <c r="H22" s="136"/>
      <c r="I22" s="274"/>
      <c r="J22" s="141" t="str">
        <f t="shared" si="1"/>
        <v/>
      </c>
      <c r="K22" s="102"/>
      <c r="L22" s="458"/>
      <c r="M22" s="459"/>
      <c r="N22" s="316" t="str">
        <f t="shared" si="2"/>
        <v/>
      </c>
      <c r="O22" s="234" t="str">
        <f>IF(OR(ISBLANK($D22),ISBLANK($K22)),"",IF(LEFT($D22,18)="Long-term teaching",VLOOKUP($K22,Subsistence,2,0)*14+VLOOKUP($K22,Subsistence,3,0)*46+IF($F22&gt;60,VLOOKUP($K22,Subsistence,4,0)*($F22-60),0),IF(LEFT($D22,18)="Short-term blended",IF($F22&lt;15,Ceilings!$S$6*$F22,Ceilings!$S$6*14+Ceilings!$S$7*($F22-14)),IF($F22&lt;15,Ceilings!$S$3*$F22,Ceilings!$S$3*14+Ceilings!$S$4*($F22-14)))))</f>
        <v/>
      </c>
      <c r="P22" s="235" t="str">
        <f>IF(OR(ISBLANK(D22),ISBLANK(H22),ISBLANK(K22)),"",IF(I22&lt;15,Ceilings!$S$3*I22,Ceilings!$S$3*14+Ceilings!$S$4*(I22-14)))</f>
        <v/>
      </c>
      <c r="Q22" s="233" t="str">
        <f t="shared" si="3"/>
        <v/>
      </c>
      <c r="R22" s="136"/>
      <c r="S22" s="333" t="str">
        <f>IF(OR(ISBLANK($D22),ISBLANK($K22),ISBLANK(R22)),"",Ceilings!$V$3*R22)</f>
        <v/>
      </c>
      <c r="T22" s="93" t="str">
        <f t="shared" si="4"/>
        <v/>
      </c>
    </row>
    <row r="23" spans="1:20" ht="15.75" customHeight="1">
      <c r="A23" s="32"/>
      <c r="B23" s="72" t="str">
        <f>IF(ISBLANK(A23),"",VLOOKUP(A23,Management!$A$11:$C$25,2,0))</f>
        <v/>
      </c>
      <c r="C23" s="60"/>
      <c r="D23" s="79"/>
      <c r="E23" s="60"/>
      <c r="F23" s="274"/>
      <c r="G23" s="141" t="str">
        <f t="shared" si="0"/>
        <v/>
      </c>
      <c r="H23" s="136"/>
      <c r="I23" s="274"/>
      <c r="J23" s="141" t="str">
        <f t="shared" si="1"/>
        <v/>
      </c>
      <c r="K23" s="102"/>
      <c r="L23" s="458"/>
      <c r="M23" s="459"/>
      <c r="N23" s="316" t="str">
        <f t="shared" si="2"/>
        <v/>
      </c>
      <c r="O23" s="234" t="str">
        <f>IF(OR(ISBLANK($D23),ISBLANK($K23)),"",IF(LEFT($D23,18)="Long-term teaching",VLOOKUP($K23,Subsistence,2,0)*14+VLOOKUP($K23,Subsistence,3,0)*46+IF($F23&gt;60,VLOOKUP($K23,Subsistence,4,0)*($F23-60),0),IF(LEFT($D23,18)="Short-term blended",IF($F23&lt;15,Ceilings!$S$6*$F23,Ceilings!$S$6*14+Ceilings!$S$7*($F23-14)),IF($F23&lt;15,Ceilings!$S$3*$F23,Ceilings!$S$3*14+Ceilings!$S$4*($F23-14)))))</f>
        <v/>
      </c>
      <c r="P23" s="235" t="str">
        <f>IF(OR(ISBLANK(D23),ISBLANK(H23),ISBLANK(K23)),"",IF(I23&lt;15,Ceilings!$S$3*I23,Ceilings!$S$3*14+Ceilings!$S$4*(I23-14)))</f>
        <v/>
      </c>
      <c r="Q23" s="233" t="str">
        <f t="shared" si="3"/>
        <v/>
      </c>
      <c r="R23" s="136"/>
      <c r="S23" s="333" t="str">
        <f>IF(OR(ISBLANK($D23),ISBLANK($K23),ISBLANK(R23)),"",Ceilings!$V$3*R23)</f>
        <v/>
      </c>
      <c r="T23" s="93" t="str">
        <f t="shared" si="4"/>
        <v/>
      </c>
    </row>
    <row r="24" spans="1:20" ht="15.75" customHeight="1">
      <c r="A24" s="32"/>
      <c r="B24" s="72" t="str">
        <f>IF(ISBLANK(A24),"",VLOOKUP(A24,Management!$A$11:$C$25,2,0))</f>
        <v/>
      </c>
      <c r="C24" s="60"/>
      <c r="D24" s="79"/>
      <c r="E24" s="60"/>
      <c r="F24" s="274"/>
      <c r="G24" s="141" t="str">
        <f t="shared" si="0"/>
        <v/>
      </c>
      <c r="H24" s="136"/>
      <c r="I24" s="274"/>
      <c r="J24" s="141" t="str">
        <f t="shared" si="1"/>
        <v/>
      </c>
      <c r="K24" s="102"/>
      <c r="L24" s="458"/>
      <c r="M24" s="459"/>
      <c r="N24" s="316" t="str">
        <f t="shared" si="2"/>
        <v/>
      </c>
      <c r="O24" s="234" t="str">
        <f>IF(OR(ISBLANK($D24),ISBLANK($K24)),"",IF(LEFT($D24,18)="Long-term teaching",VLOOKUP($K24,Subsistence,2,0)*14+VLOOKUP($K24,Subsistence,3,0)*46+IF($F24&gt;60,VLOOKUP($K24,Subsistence,4,0)*($F24-60),0),IF(LEFT($D24,18)="Short-term blended",IF($F24&lt;15,Ceilings!$S$6*$F24,Ceilings!$S$6*14+Ceilings!$S$7*($F24-14)),IF($F24&lt;15,Ceilings!$S$3*$F24,Ceilings!$S$3*14+Ceilings!$S$4*($F24-14)))))</f>
        <v/>
      </c>
      <c r="P24" s="235" t="str">
        <f>IF(OR(ISBLANK(D24),ISBLANK(H24),ISBLANK(K24)),"",IF(I24&lt;15,Ceilings!$S$3*I24,Ceilings!$S$3*14+Ceilings!$S$4*(I24-14)))</f>
        <v/>
      </c>
      <c r="Q24" s="233" t="str">
        <f t="shared" si="3"/>
        <v/>
      </c>
      <c r="R24" s="136"/>
      <c r="S24" s="333" t="str">
        <f>IF(OR(ISBLANK($D24),ISBLANK($K24),ISBLANK(R24)),"",Ceilings!$V$3*R24)</f>
        <v/>
      </c>
      <c r="T24" s="93" t="str">
        <f t="shared" si="4"/>
        <v/>
      </c>
    </row>
    <row r="25" spans="1:20" ht="15.75" customHeight="1">
      <c r="A25" s="32"/>
      <c r="B25" s="72" t="str">
        <f>IF(ISBLANK(A25),"",VLOOKUP(A25,Management!$A$11:$C$25,2,0))</f>
        <v/>
      </c>
      <c r="C25" s="60"/>
      <c r="D25" s="79"/>
      <c r="E25" s="60"/>
      <c r="F25" s="274"/>
      <c r="G25" s="141" t="str">
        <f t="shared" si="0"/>
        <v/>
      </c>
      <c r="H25" s="136"/>
      <c r="I25" s="274"/>
      <c r="J25" s="141" t="str">
        <f t="shared" si="1"/>
        <v/>
      </c>
      <c r="K25" s="102"/>
      <c r="L25" s="458"/>
      <c r="M25" s="459"/>
      <c r="N25" s="316" t="str">
        <f t="shared" si="2"/>
        <v/>
      </c>
      <c r="O25" s="234" t="str">
        <f>IF(OR(ISBLANK($D25),ISBLANK($K25)),"",IF(LEFT($D25,18)="Long-term teaching",VLOOKUP($K25,Subsistence,2,0)*14+VLOOKUP($K25,Subsistence,3,0)*46+IF($F25&gt;60,VLOOKUP($K25,Subsistence,4,0)*($F25-60),0),IF(LEFT($D25,18)="Short-term blended",IF($F25&lt;15,Ceilings!$S$6*$F25,Ceilings!$S$6*14+Ceilings!$S$7*($F25-14)),IF($F25&lt;15,Ceilings!$S$3*$F25,Ceilings!$S$3*14+Ceilings!$S$4*($F25-14)))))</f>
        <v/>
      </c>
      <c r="P25" s="235" t="str">
        <f>IF(OR(ISBLANK(D25),ISBLANK(H25),ISBLANK(K25)),"",IF(I25&lt;15,Ceilings!$S$3*I25,Ceilings!$S$3*14+Ceilings!$S$4*(I25-14)))</f>
        <v/>
      </c>
      <c r="Q25" s="233" t="str">
        <f t="shared" si="3"/>
        <v/>
      </c>
      <c r="R25" s="136"/>
      <c r="S25" s="333" t="str">
        <f>IF(OR(ISBLANK($D25),ISBLANK($K25),ISBLANK(R25)),"",Ceilings!$V$3*R25)</f>
        <v/>
      </c>
      <c r="T25" s="93" t="str">
        <f t="shared" si="4"/>
        <v/>
      </c>
    </row>
    <row r="26" spans="1:20" ht="15.75" customHeight="1">
      <c r="A26" s="32"/>
      <c r="B26" s="72" t="str">
        <f>IF(ISBLANK(A26),"",VLOOKUP(A26,Management!$A$11:$C$25,2,0))</f>
        <v/>
      </c>
      <c r="C26" s="60"/>
      <c r="D26" s="79"/>
      <c r="E26" s="60"/>
      <c r="F26" s="274"/>
      <c r="G26" s="141" t="str">
        <f t="shared" si="0"/>
        <v/>
      </c>
      <c r="H26" s="136"/>
      <c r="I26" s="274"/>
      <c r="J26" s="141" t="str">
        <f t="shared" si="1"/>
        <v/>
      </c>
      <c r="K26" s="102"/>
      <c r="L26" s="458"/>
      <c r="M26" s="459"/>
      <c r="N26" s="316" t="str">
        <f t="shared" si="2"/>
        <v/>
      </c>
      <c r="O26" s="234" t="str">
        <f>IF(OR(ISBLANK($D26),ISBLANK($K26)),"",IF(LEFT($D26,18)="Long-term teaching",VLOOKUP($K26,Subsistence,2,0)*14+VLOOKUP($K26,Subsistence,3,0)*46+IF($F26&gt;60,VLOOKUP($K26,Subsistence,4,0)*($F26-60),0),IF(LEFT($D26,18)="Short-term blended",IF($F26&lt;15,Ceilings!$S$6*$F26,Ceilings!$S$6*14+Ceilings!$S$7*($F26-14)),IF($F26&lt;15,Ceilings!$S$3*$F26,Ceilings!$S$3*14+Ceilings!$S$4*($F26-14)))))</f>
        <v/>
      </c>
      <c r="P26" s="235" t="str">
        <f>IF(OR(ISBLANK(D26),ISBLANK(H26),ISBLANK(K26)),"",IF(I26&lt;15,Ceilings!$S$3*I26,Ceilings!$S$3*14+Ceilings!$S$4*(I26-14)))</f>
        <v/>
      </c>
      <c r="Q26" s="233" t="str">
        <f t="shared" si="3"/>
        <v/>
      </c>
      <c r="R26" s="136"/>
      <c r="S26" s="333" t="str">
        <f>IF(OR(ISBLANK($D26),ISBLANK($K26),ISBLANK(R26)),"",Ceilings!$V$3*R26)</f>
        <v/>
      </c>
      <c r="T26" s="93" t="str">
        <f t="shared" si="4"/>
        <v/>
      </c>
    </row>
    <row r="27" spans="1:20" ht="15.75" customHeight="1">
      <c r="A27" s="32"/>
      <c r="B27" s="72" t="str">
        <f>IF(ISBLANK(A27),"",VLOOKUP(A27,Management!$A$11:$C$25,2,0))</f>
        <v/>
      </c>
      <c r="C27" s="60"/>
      <c r="D27" s="79"/>
      <c r="E27" s="60"/>
      <c r="F27" s="274"/>
      <c r="G27" s="141" t="str">
        <f t="shared" si="0"/>
        <v/>
      </c>
      <c r="H27" s="136"/>
      <c r="I27" s="274"/>
      <c r="J27" s="141" t="str">
        <f t="shared" si="1"/>
        <v/>
      </c>
      <c r="K27" s="102"/>
      <c r="L27" s="458"/>
      <c r="M27" s="459"/>
      <c r="N27" s="316" t="str">
        <f t="shared" si="2"/>
        <v/>
      </c>
      <c r="O27" s="234" t="str">
        <f>IF(OR(ISBLANK($D27),ISBLANK($K27)),"",IF(LEFT($D27,18)="Long-term teaching",VLOOKUP($K27,Subsistence,2,0)*14+VLOOKUP($K27,Subsistence,3,0)*46+IF($F27&gt;60,VLOOKUP($K27,Subsistence,4,0)*($F27-60),0),IF(LEFT($D27,18)="Short-term blended",IF($F27&lt;15,Ceilings!$S$6*$F27,Ceilings!$S$6*14+Ceilings!$S$7*($F27-14)),IF($F27&lt;15,Ceilings!$S$3*$F27,Ceilings!$S$3*14+Ceilings!$S$4*($F27-14)))))</f>
        <v/>
      </c>
      <c r="P27" s="235" t="str">
        <f>IF(OR(ISBLANK(D27),ISBLANK(H27),ISBLANK(K27)),"",IF(I27&lt;15,Ceilings!$S$3*I27,Ceilings!$S$3*14+Ceilings!$S$4*(I27-14)))</f>
        <v/>
      </c>
      <c r="Q27" s="233" t="str">
        <f t="shared" si="3"/>
        <v/>
      </c>
      <c r="R27" s="136"/>
      <c r="S27" s="333" t="str">
        <f>IF(OR(ISBLANK($D27),ISBLANK($K27),ISBLANK(R27)),"",Ceilings!$V$3*R27)</f>
        <v/>
      </c>
      <c r="T27" s="93" t="str">
        <f t="shared" si="4"/>
        <v/>
      </c>
    </row>
    <row r="28" spans="1:20" ht="15.75" customHeight="1">
      <c r="A28" s="32"/>
      <c r="B28" s="72" t="str">
        <f>IF(ISBLANK(A28),"",VLOOKUP(A28,Management!$A$11:$C$25,2,0))</f>
        <v/>
      </c>
      <c r="C28" s="60"/>
      <c r="D28" s="79"/>
      <c r="E28" s="60"/>
      <c r="F28" s="274"/>
      <c r="G28" s="141" t="str">
        <f t="shared" si="0"/>
        <v/>
      </c>
      <c r="H28" s="136"/>
      <c r="I28" s="274"/>
      <c r="J28" s="141" t="str">
        <f t="shared" si="1"/>
        <v/>
      </c>
      <c r="K28" s="102"/>
      <c r="L28" s="458"/>
      <c r="M28" s="459"/>
      <c r="N28" s="316" t="str">
        <f t="shared" si="2"/>
        <v/>
      </c>
      <c r="O28" s="234" t="str">
        <f>IF(OR(ISBLANK($D28),ISBLANK($K28)),"",IF(LEFT($D28,18)="Long-term teaching",VLOOKUP($K28,Subsistence,2,0)*14+VLOOKUP($K28,Subsistence,3,0)*46+IF($F28&gt;60,VLOOKUP($K28,Subsistence,4,0)*($F28-60),0),IF(LEFT($D28,18)="Short-term blended",IF($F28&lt;15,Ceilings!$S$6*$F28,Ceilings!$S$6*14+Ceilings!$S$7*($F28-14)),IF($F28&lt;15,Ceilings!$S$3*$F28,Ceilings!$S$3*14+Ceilings!$S$4*($F28-14)))))</f>
        <v/>
      </c>
      <c r="P28" s="235" t="str">
        <f>IF(OR(ISBLANK(D28),ISBLANK(H28),ISBLANK(K28)),"",IF(I28&lt;15,Ceilings!$S$3*I28,Ceilings!$S$3*14+Ceilings!$S$4*(I28-14)))</f>
        <v/>
      </c>
      <c r="Q28" s="233" t="str">
        <f t="shared" si="3"/>
        <v/>
      </c>
      <c r="R28" s="136"/>
      <c r="S28" s="333" t="str">
        <f>IF(OR(ISBLANK($D28),ISBLANK($K28),ISBLANK(R28)),"",Ceilings!$V$3*R28)</f>
        <v/>
      </c>
      <c r="T28" s="93" t="str">
        <f t="shared" si="4"/>
        <v/>
      </c>
    </row>
    <row r="29" spans="1:20" ht="15.75" customHeight="1">
      <c r="A29" s="32"/>
      <c r="B29" s="72" t="str">
        <f>IF(ISBLANK(A29),"",VLOOKUP(A29,Management!$A$11:$C$25,2,0))</f>
        <v/>
      </c>
      <c r="C29" s="60"/>
      <c r="D29" s="79"/>
      <c r="E29" s="60"/>
      <c r="F29" s="274"/>
      <c r="G29" s="141" t="str">
        <f t="shared" si="0"/>
        <v/>
      </c>
      <c r="H29" s="136"/>
      <c r="I29" s="274"/>
      <c r="J29" s="141" t="str">
        <f t="shared" si="1"/>
        <v/>
      </c>
      <c r="K29" s="102"/>
      <c r="L29" s="458"/>
      <c r="M29" s="459"/>
      <c r="N29" s="316" t="str">
        <f t="shared" si="2"/>
        <v/>
      </c>
      <c r="O29" s="234" t="str">
        <f>IF(OR(ISBLANK($D29),ISBLANK($K29)),"",IF(LEFT($D29,18)="Long-term teaching",VLOOKUP($K29,Subsistence,2,0)*14+VLOOKUP($K29,Subsistence,3,0)*46+IF($F29&gt;60,VLOOKUP($K29,Subsistence,4,0)*($F29-60),0),IF(LEFT($D29,18)="Short-term blended",IF($F29&lt;15,Ceilings!$S$6*$F29,Ceilings!$S$6*14+Ceilings!$S$7*($F29-14)),IF($F29&lt;15,Ceilings!$S$3*$F29,Ceilings!$S$3*14+Ceilings!$S$4*($F29-14)))))</f>
        <v/>
      </c>
      <c r="P29" s="235" t="str">
        <f>IF(OR(ISBLANK(D29),ISBLANK(H29),ISBLANK(K29)),"",IF(I29&lt;15,Ceilings!$S$3*I29,Ceilings!$S$3*14+Ceilings!$S$4*(I29-14)))</f>
        <v/>
      </c>
      <c r="Q29" s="233" t="str">
        <f t="shared" si="3"/>
        <v/>
      </c>
      <c r="R29" s="136"/>
      <c r="S29" s="333" t="str">
        <f>IF(OR(ISBLANK($D29),ISBLANK($K29),ISBLANK(R29)),"",Ceilings!$V$3*R29)</f>
        <v/>
      </c>
      <c r="T29" s="93" t="str">
        <f t="shared" si="4"/>
        <v/>
      </c>
    </row>
    <row r="30" spans="1:20" ht="15.75" customHeight="1">
      <c r="A30" s="32"/>
      <c r="B30" s="72" t="str">
        <f>IF(ISBLANK(A30),"",VLOOKUP(A30,Management!$A$11:$C$25,2,0))</f>
        <v/>
      </c>
      <c r="C30" s="60"/>
      <c r="D30" s="79"/>
      <c r="E30" s="60"/>
      <c r="F30" s="274"/>
      <c r="G30" s="141" t="str">
        <f t="shared" si="0"/>
        <v/>
      </c>
      <c r="H30" s="136"/>
      <c r="I30" s="274"/>
      <c r="J30" s="141" t="str">
        <f t="shared" si="1"/>
        <v/>
      </c>
      <c r="K30" s="102"/>
      <c r="L30" s="458"/>
      <c r="M30" s="459"/>
      <c r="N30" s="316" t="str">
        <f t="shared" si="2"/>
        <v/>
      </c>
      <c r="O30" s="234" t="str">
        <f>IF(OR(ISBLANK($D30),ISBLANK($K30)),"",IF(LEFT($D30,18)="Long-term teaching",VLOOKUP($K30,Subsistence,2,0)*14+VLOOKUP($K30,Subsistence,3,0)*46+IF($F30&gt;60,VLOOKUP($K30,Subsistence,4,0)*($F30-60),0),IF(LEFT($D30,18)="Short-term blended",IF($F30&lt;15,Ceilings!$S$6*$F30,Ceilings!$S$6*14+Ceilings!$S$7*($F30-14)),IF($F30&lt;15,Ceilings!$S$3*$F30,Ceilings!$S$3*14+Ceilings!$S$4*($F30-14)))))</f>
        <v/>
      </c>
      <c r="P30" s="235" t="str">
        <f>IF(OR(ISBLANK(D30),ISBLANK(H30),ISBLANK(K30)),"",IF(I30&lt;15,Ceilings!$S$3*I30,Ceilings!$S$3*14+Ceilings!$S$4*(I30-14)))</f>
        <v/>
      </c>
      <c r="Q30" s="233" t="str">
        <f t="shared" si="3"/>
        <v/>
      </c>
      <c r="R30" s="136"/>
      <c r="S30" s="333" t="str">
        <f>IF(OR(ISBLANK($D30),ISBLANK($K30),ISBLANK(R30)),"",Ceilings!$V$3*R30)</f>
        <v/>
      </c>
      <c r="T30" s="93" t="str">
        <f t="shared" si="4"/>
        <v/>
      </c>
    </row>
    <row r="31" spans="1:20" ht="15.75" customHeight="1">
      <c r="A31" s="32"/>
      <c r="B31" s="72" t="str">
        <f>IF(ISBLANK(A31),"",VLOOKUP(A31,Management!$A$11:$C$25,2,0))</f>
        <v/>
      </c>
      <c r="C31" s="60"/>
      <c r="D31" s="79"/>
      <c r="E31" s="60"/>
      <c r="F31" s="274"/>
      <c r="G31" s="141" t="str">
        <f t="shared" si="0"/>
        <v/>
      </c>
      <c r="H31" s="136"/>
      <c r="I31" s="274"/>
      <c r="J31" s="141" t="str">
        <f t="shared" si="1"/>
        <v/>
      </c>
      <c r="K31" s="102"/>
      <c r="L31" s="458"/>
      <c r="M31" s="459"/>
      <c r="N31" s="316" t="str">
        <f t="shared" si="2"/>
        <v/>
      </c>
      <c r="O31" s="234" t="str">
        <f>IF(OR(ISBLANK($D31),ISBLANK($K31)),"",IF(LEFT($D31,18)="Long-term teaching",VLOOKUP($K31,Subsistence,2,0)*14+VLOOKUP($K31,Subsistence,3,0)*46+IF($F31&gt;60,VLOOKUP($K31,Subsistence,4,0)*($F31-60),0),IF(LEFT($D31,18)="Short-term blended",IF($F31&lt;15,Ceilings!$S$6*$F31,Ceilings!$S$6*14+Ceilings!$S$7*($F31-14)),IF($F31&lt;15,Ceilings!$S$3*$F31,Ceilings!$S$3*14+Ceilings!$S$4*($F31-14)))))</f>
        <v/>
      </c>
      <c r="P31" s="235" t="str">
        <f>IF(OR(ISBLANK(D31),ISBLANK(H31),ISBLANK(K31)),"",IF(I31&lt;15,Ceilings!$S$3*I31,Ceilings!$S$3*14+Ceilings!$S$4*(I31-14)))</f>
        <v/>
      </c>
      <c r="Q31" s="233" t="str">
        <f t="shared" si="3"/>
        <v/>
      </c>
      <c r="R31" s="136"/>
      <c r="S31" s="333" t="str">
        <f>IF(OR(ISBLANK($D31),ISBLANK($K31),ISBLANK(R31)),"",Ceilings!$V$3*R31)</f>
        <v/>
      </c>
      <c r="T31" s="93" t="str">
        <f t="shared" si="4"/>
        <v/>
      </c>
    </row>
    <row r="32" spans="1:20" ht="15.75" customHeight="1">
      <c r="A32" s="32"/>
      <c r="B32" s="72" t="str">
        <f>IF(ISBLANK(A32),"",VLOOKUP(A32,Management!$A$11:$C$25,2,0))</f>
        <v/>
      </c>
      <c r="C32" s="60"/>
      <c r="D32" s="79"/>
      <c r="E32" s="60"/>
      <c r="F32" s="274"/>
      <c r="G32" s="141" t="str">
        <f t="shared" si="0"/>
        <v/>
      </c>
      <c r="H32" s="136"/>
      <c r="I32" s="274"/>
      <c r="J32" s="141" t="str">
        <f t="shared" si="1"/>
        <v/>
      </c>
      <c r="K32" s="102"/>
      <c r="L32" s="458"/>
      <c r="M32" s="459"/>
      <c r="N32" s="316" t="str">
        <f t="shared" si="2"/>
        <v/>
      </c>
      <c r="O32" s="234" t="str">
        <f>IF(OR(ISBLANK($D32),ISBLANK($K32)),"",IF(LEFT($D32,18)="Long-term teaching",VLOOKUP($K32,Subsistence,2,0)*14+VLOOKUP($K32,Subsistence,3,0)*46+IF($F32&gt;60,VLOOKUP($K32,Subsistence,4,0)*($F32-60),0),IF(LEFT($D32,18)="Short-term blended",IF($F32&lt;15,Ceilings!$S$6*$F32,Ceilings!$S$6*14+Ceilings!$S$7*($F32-14)),IF($F32&lt;15,Ceilings!$S$3*$F32,Ceilings!$S$3*14+Ceilings!$S$4*($F32-14)))))</f>
        <v/>
      </c>
      <c r="P32" s="235" t="str">
        <f>IF(OR(ISBLANK(D32),ISBLANK(H32),ISBLANK(K32)),"",IF(I32&lt;15,Ceilings!$S$3*I32,Ceilings!$S$3*14+Ceilings!$S$4*(I32-14)))</f>
        <v/>
      </c>
      <c r="Q32" s="233" t="str">
        <f t="shared" si="3"/>
        <v/>
      </c>
      <c r="R32" s="136"/>
      <c r="S32" s="333" t="str">
        <f>IF(OR(ISBLANK($D32),ISBLANK($K32),ISBLANK(R32)),"",Ceilings!$V$3*R32)</f>
        <v/>
      </c>
      <c r="T32" s="93" t="str">
        <f t="shared" si="4"/>
        <v/>
      </c>
    </row>
    <row r="33" spans="1:20" ht="15.75" customHeight="1">
      <c r="A33" s="32"/>
      <c r="B33" s="72" t="str">
        <f>IF(ISBLANK(A33),"",VLOOKUP(A33,Management!$A$11:$C$25,2,0))</f>
        <v/>
      </c>
      <c r="C33" s="60"/>
      <c r="D33" s="79"/>
      <c r="E33" s="60"/>
      <c r="F33" s="274"/>
      <c r="G33" s="141" t="str">
        <f t="shared" si="0"/>
        <v/>
      </c>
      <c r="H33" s="136"/>
      <c r="I33" s="274"/>
      <c r="J33" s="141" t="str">
        <f t="shared" si="1"/>
        <v/>
      </c>
      <c r="K33" s="102"/>
      <c r="L33" s="458"/>
      <c r="M33" s="459"/>
      <c r="N33" s="316" t="str">
        <f t="shared" si="2"/>
        <v/>
      </c>
      <c r="O33" s="234" t="str">
        <f>IF(OR(ISBLANK($D33),ISBLANK($K33)),"",IF(LEFT($D33,18)="Long-term teaching",VLOOKUP($K33,Subsistence,2,0)*14+VLOOKUP($K33,Subsistence,3,0)*46+IF($F33&gt;60,VLOOKUP($K33,Subsistence,4,0)*($F33-60),0),IF(LEFT($D33,18)="Short-term blended",IF($F33&lt;15,Ceilings!$S$6*$F33,Ceilings!$S$6*14+Ceilings!$S$7*($F33-14)),IF($F33&lt;15,Ceilings!$S$3*$F33,Ceilings!$S$3*14+Ceilings!$S$4*($F33-14)))))</f>
        <v/>
      </c>
      <c r="P33" s="235" t="str">
        <f>IF(OR(ISBLANK(D33),ISBLANK(H33),ISBLANK(K33)),"",IF(I33&lt;15,Ceilings!$S$3*I33,Ceilings!$S$3*14+Ceilings!$S$4*(I33-14)))</f>
        <v/>
      </c>
      <c r="Q33" s="233" t="str">
        <f t="shared" si="3"/>
        <v/>
      </c>
      <c r="R33" s="136"/>
      <c r="S33" s="333" t="str">
        <f>IF(OR(ISBLANK($D33),ISBLANK($K33),ISBLANK(R33)),"",Ceilings!$V$3*R33)</f>
        <v/>
      </c>
      <c r="T33" s="93" t="str">
        <f t="shared" si="4"/>
        <v/>
      </c>
    </row>
    <row r="34" spans="1:20" ht="15.75" customHeight="1">
      <c r="A34" s="32"/>
      <c r="B34" s="72" t="str">
        <f>IF(ISBLANK(A34),"",VLOOKUP(A34,Management!$A$11:$C$25,2,0))</f>
        <v/>
      </c>
      <c r="C34" s="60"/>
      <c r="D34" s="79"/>
      <c r="E34" s="60"/>
      <c r="F34" s="274"/>
      <c r="G34" s="141" t="str">
        <f t="shared" si="0"/>
        <v/>
      </c>
      <c r="H34" s="136"/>
      <c r="I34" s="274"/>
      <c r="J34" s="141" t="str">
        <f t="shared" si="1"/>
        <v/>
      </c>
      <c r="K34" s="102"/>
      <c r="L34" s="458"/>
      <c r="M34" s="459"/>
      <c r="N34" s="316" t="str">
        <f t="shared" si="2"/>
        <v/>
      </c>
      <c r="O34" s="234" t="str">
        <f>IF(OR(ISBLANK($D34),ISBLANK($K34)),"",IF(LEFT($D34,18)="Long-term teaching",VLOOKUP($K34,Subsistence,2,0)*14+VLOOKUP($K34,Subsistence,3,0)*46+IF($F34&gt;60,VLOOKUP($K34,Subsistence,4,0)*($F34-60),0),IF(LEFT($D34,18)="Short-term blended",IF($F34&lt;15,Ceilings!$S$6*$F34,Ceilings!$S$6*14+Ceilings!$S$7*($F34-14)),IF($F34&lt;15,Ceilings!$S$3*$F34,Ceilings!$S$3*14+Ceilings!$S$4*($F34-14)))))</f>
        <v/>
      </c>
      <c r="P34" s="235" t="str">
        <f>IF(OR(ISBLANK(D34),ISBLANK(H34),ISBLANK(K34)),"",IF(I34&lt;15,Ceilings!$S$3*I34,Ceilings!$S$3*14+Ceilings!$S$4*(I34-14)))</f>
        <v/>
      </c>
      <c r="Q34" s="233" t="str">
        <f t="shared" si="3"/>
        <v/>
      </c>
      <c r="R34" s="136"/>
      <c r="S34" s="333" t="str">
        <f>IF(OR(ISBLANK($D34),ISBLANK($K34),ISBLANK(R34)),"",Ceilings!$V$3*R34)</f>
        <v/>
      </c>
      <c r="T34" s="93" t="str">
        <f t="shared" si="4"/>
        <v/>
      </c>
    </row>
    <row r="35" spans="1:20" ht="15.75" customHeight="1">
      <c r="A35" s="32"/>
      <c r="B35" s="72" t="str">
        <f>IF(ISBLANK(A35),"",VLOOKUP(A35,Management!$A$11:$C$25,2,0))</f>
        <v/>
      </c>
      <c r="C35" s="60"/>
      <c r="D35" s="79"/>
      <c r="E35" s="60"/>
      <c r="F35" s="274"/>
      <c r="G35" s="141" t="str">
        <f t="shared" si="0"/>
        <v/>
      </c>
      <c r="H35" s="136"/>
      <c r="I35" s="274"/>
      <c r="J35" s="141" t="str">
        <f t="shared" si="1"/>
        <v/>
      </c>
      <c r="K35" s="102"/>
      <c r="L35" s="458"/>
      <c r="M35" s="459"/>
      <c r="N35" s="316" t="str">
        <f t="shared" si="2"/>
        <v/>
      </c>
      <c r="O35" s="234" t="str">
        <f>IF(OR(ISBLANK($D35),ISBLANK($K35)),"",IF(LEFT($D35,18)="Long-term teaching",VLOOKUP($K35,Subsistence,2,0)*14+VLOOKUP($K35,Subsistence,3,0)*46+IF($F35&gt;60,VLOOKUP($K35,Subsistence,4,0)*($F35-60),0),IF(LEFT($D35,18)="Short-term blended",IF($F35&lt;15,Ceilings!$S$6*$F35,Ceilings!$S$6*14+Ceilings!$S$7*($F35-14)),IF($F35&lt;15,Ceilings!$S$3*$F35,Ceilings!$S$3*14+Ceilings!$S$4*($F35-14)))))</f>
        <v/>
      </c>
      <c r="P35" s="235" t="str">
        <f>IF(OR(ISBLANK(D35),ISBLANK(H35),ISBLANK(K35)),"",IF(I35&lt;15,Ceilings!$S$3*I35,Ceilings!$S$3*14+Ceilings!$S$4*(I35-14)))</f>
        <v/>
      </c>
      <c r="Q35" s="233" t="str">
        <f t="shared" si="3"/>
        <v/>
      </c>
      <c r="R35" s="136"/>
      <c r="S35" s="333" t="str">
        <f>IF(OR(ISBLANK($D35),ISBLANK($K35),ISBLANK(R35)),"",Ceilings!$V$3*R35)</f>
        <v/>
      </c>
      <c r="T35" s="93" t="str">
        <f t="shared" si="4"/>
        <v/>
      </c>
    </row>
    <row r="36" spans="1:20" ht="15.75" customHeight="1">
      <c r="A36" s="32"/>
      <c r="B36" s="72" t="str">
        <f>IF(ISBLANK(A36),"",VLOOKUP(A36,Management!$A$11:$C$25,2,0))</f>
        <v/>
      </c>
      <c r="C36" s="60"/>
      <c r="D36" s="79"/>
      <c r="E36" s="60"/>
      <c r="F36" s="274"/>
      <c r="G36" s="141" t="str">
        <f t="shared" si="0"/>
        <v/>
      </c>
      <c r="H36" s="136"/>
      <c r="I36" s="274"/>
      <c r="J36" s="141" t="str">
        <f t="shared" si="1"/>
        <v/>
      </c>
      <c r="K36" s="102"/>
      <c r="L36" s="458"/>
      <c r="M36" s="459"/>
      <c r="N36" s="316" t="str">
        <f t="shared" si="2"/>
        <v/>
      </c>
      <c r="O36" s="234" t="str">
        <f>IF(OR(ISBLANK($D36),ISBLANK($K36)),"",IF(LEFT($D36,18)="Long-term teaching",VLOOKUP($K36,Subsistence,2,0)*14+VLOOKUP($K36,Subsistence,3,0)*46+IF($F36&gt;60,VLOOKUP($K36,Subsistence,4,0)*($F36-60),0),IF(LEFT($D36,18)="Short-term blended",IF($F36&lt;15,Ceilings!$S$6*$F36,Ceilings!$S$6*14+Ceilings!$S$7*($F36-14)),IF($F36&lt;15,Ceilings!$S$3*$F36,Ceilings!$S$3*14+Ceilings!$S$4*($F36-14)))))</f>
        <v/>
      </c>
      <c r="P36" s="235" t="str">
        <f>IF(OR(ISBLANK(D36),ISBLANK(H36),ISBLANK(K36)),"",IF(I36&lt;15,Ceilings!$S$3*I36,Ceilings!$S$3*14+Ceilings!$S$4*(I36-14)))</f>
        <v/>
      </c>
      <c r="Q36" s="233" t="str">
        <f t="shared" si="3"/>
        <v/>
      </c>
      <c r="R36" s="136"/>
      <c r="S36" s="333" t="str">
        <f>IF(OR(ISBLANK($D36),ISBLANK($K36),ISBLANK(R36)),"",Ceilings!$V$3*R36)</f>
        <v/>
      </c>
      <c r="T36" s="93" t="str">
        <f t="shared" si="4"/>
        <v/>
      </c>
    </row>
    <row r="37" spans="1:20" ht="15.75" customHeight="1" thickBot="1">
      <c r="A37" s="35"/>
      <c r="B37" s="73" t="str">
        <f>IF(ISBLANK(A37),"",VLOOKUP(A37,Management!$A$11:$C$25,2,0))</f>
        <v/>
      </c>
      <c r="C37" s="62"/>
      <c r="D37" s="80"/>
      <c r="E37" s="62"/>
      <c r="F37" s="275"/>
      <c r="G37" s="142" t="str">
        <f t="shared" si="0"/>
        <v/>
      </c>
      <c r="H37" s="137"/>
      <c r="I37" s="275"/>
      <c r="J37" s="142" t="str">
        <f t="shared" si="1"/>
        <v/>
      </c>
      <c r="K37" s="103"/>
      <c r="L37" s="460"/>
      <c r="M37" s="461"/>
      <c r="N37" s="323" t="str">
        <f t="shared" si="2"/>
        <v/>
      </c>
      <c r="O37" s="237" t="str">
        <f>IF(OR(ISBLANK($D37),ISBLANK($K37)),"",IF(LEFT($D37,18)="Long-term teaching",VLOOKUP($K37,Subsistence,2,0)*14+VLOOKUP($K37,Subsistence,3,0)*46+IF($F37&gt;60,VLOOKUP($K37,Subsistence,4,0)*($F37-60),0),IF(LEFT($D37,18)="Short-term blended",IF($F37&lt;15,Ceilings!$S$6*$F37,Ceilings!$S$6*14+Ceilings!$S$7*($F37-14)),IF($F37&lt;15,Ceilings!$S$3*$F37,Ceilings!$S$3*14+Ceilings!$S$4*($F37-14)))))</f>
        <v/>
      </c>
      <c r="P37" s="238" t="str">
        <f>IF(OR(ISBLANK(D37),ISBLANK(H37),ISBLANK(K37)),"",IF(I37&lt;15,Ceilings!$S$3*I37,Ceilings!$S$3*14+Ceilings!$S$4*(I37-14)))</f>
        <v/>
      </c>
      <c r="Q37" s="236" t="str">
        <f t="shared" si="3"/>
        <v/>
      </c>
      <c r="R37" s="137"/>
      <c r="S37" s="334" t="str">
        <f>IF(OR(ISBLANK($D37),ISBLANK($K37),ISBLANK(R37)),"",Ceilings!$V$3*R37)</f>
        <v/>
      </c>
      <c r="T37" s="97" t="str">
        <f t="shared" si="4"/>
        <v/>
      </c>
    </row>
    <row r="38" spans="1:20">
      <c r="E38" s="56">
        <f>SUM(E7:E37)</f>
        <v>0</v>
      </c>
      <c r="H38" s="56">
        <f t="shared" ref="H38" si="5">SUM(H7:H37)</f>
        <v>0</v>
      </c>
      <c r="R38" s="56"/>
    </row>
  </sheetData>
  <sheetProtection password="CBC2" sheet="1" objects="1" scenarios="1" sort="0" autoFilter="0"/>
  <mergeCells count="19">
    <mergeCell ref="E1:H2"/>
    <mergeCell ref="J1:S1"/>
    <mergeCell ref="B2:C2"/>
    <mergeCell ref="J2:S2"/>
    <mergeCell ref="T4:T5"/>
    <mergeCell ref="F4:G5"/>
    <mergeCell ref="H4:H5"/>
    <mergeCell ref="I4:J5"/>
    <mergeCell ref="M4:M5"/>
    <mergeCell ref="K4:K5"/>
    <mergeCell ref="L4:L5"/>
    <mergeCell ref="N4:N5"/>
    <mergeCell ref="O4:Q4"/>
    <mergeCell ref="R4:S4"/>
    <mergeCell ref="A4:A5"/>
    <mergeCell ref="B4:B5"/>
    <mergeCell ref="C4:C5"/>
    <mergeCell ref="D4:D5"/>
    <mergeCell ref="E4:E5"/>
  </mergeCells>
  <phoneticPr fontId="7" type="noConversion"/>
  <conditionalFormatting sqref="R7:R37">
    <cfRule type="expression" dxfId="14" priority="7"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13" priority="3" stopIfTrue="1" operator="equal">
      <formula>$B7</formula>
    </cfRule>
  </conditionalFormatting>
  <dataValidations disablePrompts="1" count="11">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allowBlank="1" error="Long-term teaching or training assignments &lt; 367 days, otherwise between 5 and 60 days." sqref="G7:G37 J7:J37"/>
    <dataValidation type="list" allowBlank="1" showInputMessage="1" showErrorMessage="1" sqref="L7:L37">
      <formula1>Distances</formula1>
    </dataValidation>
    <dataValidation type="list" allowBlank="1" showInputMessage="1" showErrorMessage="1" sqref="D7:D37">
      <formula1>IF(ISNA(MATCH(B7,PCountries,0)),Activity_t,H_Activity_t)</formula1>
    </dataValidation>
    <dataValidation type="list" allowBlank="1" showInputMessage="1" showErrorMessage="1" sqref="A7:A37">
      <formula1>Partners</formula1>
    </dataValidation>
    <dataValidation type="list" allowBlank="1" showInputMessage="1" showErrorMessage="1" sqref="K7:K37">
      <formula1>CountriesofPs</formula1>
    </dataValidation>
    <dataValidation type="custom" allowBlank="1" showInputMessage="1" showErrorMessage="1" error="It is not possible greater than for participants." sqref="I7:I37">
      <formula1>I7&lt;=F7</formula1>
    </dataValidation>
    <dataValidation type="custom" showInputMessage="1" showErrorMessage="1" sqref="H7:H37">
      <formula1>FALSE()</formula1>
    </dataValidation>
    <dataValidation type="custom" showInputMessage="1" showErrorMessage="1" sqref="R7:R37">
      <formula1>LEFT($D7,4)="Long"</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7" right="0.7" top="0.75" bottom="0.75" header="0.3" footer="0.3"/>
  <pageSetup paperSize="9" scale="59" orientation="landscape" r:id="rId1"/>
  <headerFooter scaleWithDoc="0">
    <oddHeader>&amp;C&amp;11 2017. E+ KA202&amp;RVersion: 2017.02.16. - TKA</oddHeader>
    <oddFooter>&amp;C&amp;"Arial,Félkövér"&amp;A</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zoomScale="85" zoomScaleNormal="85" zoomScalePageLayoutView="85" workbookViewId="0">
      <selection activeCell="AA33" sqref="AA33"/>
    </sheetView>
  </sheetViews>
  <sheetFormatPr defaultColWidth="8.85546875" defaultRowHeight="12.75"/>
  <cols>
    <col min="1" max="1" width="20" style="74" customWidth="1"/>
    <col min="2" max="2" width="12.7109375" style="75" bestFit="1" customWidth="1"/>
    <col min="3" max="3" width="7.28515625" style="56" customWidth="1"/>
    <col min="4" max="4" width="35.42578125" style="76" customWidth="1"/>
    <col min="5" max="5" width="10.85546875" style="56" customWidth="1"/>
    <col min="6" max="6" width="5.28515625" style="56" customWidth="1"/>
    <col min="7" max="7" width="5" style="56" bestFit="1" customWidth="1"/>
    <col min="8" max="8" width="11" style="56" customWidth="1"/>
    <col min="9" max="9" width="5.28515625" style="56" customWidth="1"/>
    <col min="10" max="10" width="5.7109375" style="56" customWidth="1"/>
    <col min="11" max="11" width="8.42578125" style="70" customWidth="1"/>
    <col min="12" max="12" width="17.28515625" style="77" bestFit="1" customWidth="1"/>
    <col min="13" max="13" width="5.28515625" style="56" customWidth="1"/>
    <col min="14" max="14" width="10" style="57" bestFit="1" customWidth="1"/>
    <col min="15" max="15" width="11.28515625" style="57" customWidth="1"/>
    <col min="16" max="16" width="10.7109375" style="57" customWidth="1"/>
    <col min="17" max="17" width="10.42578125" style="57" bestFit="1" customWidth="1"/>
    <col min="18" max="18" width="10.140625" style="57" bestFit="1" customWidth="1"/>
    <col min="19" max="19" width="9.42578125" style="57" customWidth="1"/>
    <col min="20" max="20" width="11.42578125" style="57" bestFit="1" customWidth="1"/>
    <col min="21" max="16384" width="8.85546875" style="70"/>
  </cols>
  <sheetData>
    <row r="1" spans="1:259" s="465" customFormat="1" ht="15.75">
      <c r="A1" s="188" t="s">
        <v>413</v>
      </c>
      <c r="B1" s="189"/>
      <c r="C1" s="463"/>
      <c r="D1" s="464"/>
      <c r="E1" s="572" t="s">
        <v>447</v>
      </c>
      <c r="F1" s="573"/>
      <c r="G1" s="573"/>
      <c r="H1" s="574"/>
      <c r="J1" s="578" t="s">
        <v>423</v>
      </c>
      <c r="K1" s="579"/>
      <c r="L1" s="579"/>
      <c r="M1" s="579"/>
      <c r="N1" s="579"/>
      <c r="O1" s="579"/>
      <c r="P1" s="579"/>
      <c r="Q1" s="579"/>
      <c r="R1" s="579"/>
      <c r="S1" s="58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68" t="s">
        <v>492</v>
      </c>
      <c r="C2" s="568"/>
      <c r="D2" s="189"/>
      <c r="E2" s="575"/>
      <c r="F2" s="576"/>
      <c r="G2" s="576"/>
      <c r="H2" s="577"/>
      <c r="J2" s="581" t="s">
        <v>489</v>
      </c>
      <c r="K2" s="582"/>
      <c r="L2" s="582"/>
      <c r="M2" s="582"/>
      <c r="N2" s="582"/>
      <c r="O2" s="582"/>
      <c r="P2" s="582"/>
      <c r="Q2" s="582"/>
      <c r="R2" s="582"/>
      <c r="S2" s="583"/>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18" t="s">
        <v>483</v>
      </c>
      <c r="B4" s="520" t="s">
        <v>32</v>
      </c>
      <c r="C4" s="524" t="s">
        <v>324</v>
      </c>
      <c r="D4" s="555" t="s">
        <v>144</v>
      </c>
      <c r="E4" s="524" t="s">
        <v>404</v>
      </c>
      <c r="F4" s="561" t="s">
        <v>427</v>
      </c>
      <c r="G4" s="562"/>
      <c r="H4" s="524" t="s">
        <v>403</v>
      </c>
      <c r="I4" s="557" t="s">
        <v>428</v>
      </c>
      <c r="J4" s="558"/>
      <c r="K4" s="547" t="s">
        <v>486</v>
      </c>
      <c r="L4" s="545" t="s">
        <v>120</v>
      </c>
      <c r="M4" s="549" t="s">
        <v>487</v>
      </c>
      <c r="N4" s="543" t="s">
        <v>146</v>
      </c>
      <c r="O4" s="553" t="s">
        <v>330</v>
      </c>
      <c r="P4" s="554"/>
      <c r="Q4" s="543"/>
      <c r="R4" s="551" t="s">
        <v>328</v>
      </c>
      <c r="S4" s="552"/>
      <c r="T4" s="526"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19"/>
      <c r="B5" s="521"/>
      <c r="C5" s="525"/>
      <c r="D5" s="556"/>
      <c r="E5" s="525"/>
      <c r="F5" s="563"/>
      <c r="G5" s="564"/>
      <c r="H5" s="525"/>
      <c r="I5" s="559"/>
      <c r="J5" s="560"/>
      <c r="K5" s="548"/>
      <c r="L5" s="546"/>
      <c r="M5" s="550"/>
      <c r="N5" s="544"/>
      <c r="O5" s="197" t="s">
        <v>331</v>
      </c>
      <c r="P5" s="198" t="s">
        <v>405</v>
      </c>
      <c r="Q5" s="199" t="s">
        <v>329</v>
      </c>
      <c r="R5" s="276" t="s">
        <v>145</v>
      </c>
      <c r="S5" s="199" t="s">
        <v>329</v>
      </c>
      <c r="T5" s="527"/>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IF(OR(ISBLANK($D7),ISBLANK($K7)),"",IF(LEFT($D7,18)="Long-term teaching",VLOOKUP($K7,Subsistence,2,0)*14+VLOOKUP($K7,Subsistence,3,0)*46+IF($F7&gt;60,VLOOKUP($K7,Subsistence,4,0)*($F7-60),0),IF(LEFT($D7,18)="Short-term joint s",IF($F7&lt;15,Ceilings!$S$3*$F7,Ceilings!$S$3*14+Ceilings!$S$4*($F7-14)),IF($F7&lt;15,Ceilings!$S$6*$F7,Ceilings!$S$6*14+Ceilings!$S$7*($F7-14)))))</f>
        <v/>
      </c>
      <c r="P7" s="232" t="str">
        <f>IF(OR(ISBLANK(D7),ISBLANK(H7),ISBLANK(K7)),"",IF(I7&lt;15,Ceilings!$S$3*I7,Ceilings!$S$3*14+Ceilings!$S$4*(I7-14)))</f>
        <v/>
      </c>
      <c r="Q7" s="230" t="str">
        <f>IF(O7="","",$E7*O7+IF(P7="",0,$H7*P7))</f>
        <v/>
      </c>
      <c r="R7" s="135"/>
      <c r="S7" s="332" t="str">
        <f>IF(OR(ISBLANK($D7),ISBLANK($K7),ISBLANK(R7)),"",Ceilings!$V$3*R7)</f>
        <v/>
      </c>
      <c r="T7" s="221" t="str">
        <f>IF(ISBLANK($A7),"",IF(OR(ISBLANK($C7),ISBLANK($D7),ISBLANK($E7),ISBLANK($K7)),"Missing data",SUM($N7,$Q7,$S7)))</f>
        <v/>
      </c>
    </row>
    <row r="8" spans="1:259" ht="15.75" customHeight="1">
      <c r="A8" s="32"/>
      <c r="B8" s="72" t="str">
        <f>IF(ISBLANK(A8),"",VLOOKUP(A8,Management!$A$11:$C$25,2,0))</f>
        <v/>
      </c>
      <c r="C8" s="60"/>
      <c r="D8" s="79"/>
      <c r="E8" s="60"/>
      <c r="F8" s="274"/>
      <c r="G8" s="141" t="str">
        <f t="shared" ref="G8:G37" si="0">IF(ISBLANK($D8),"","days")</f>
        <v/>
      </c>
      <c r="H8" s="136"/>
      <c r="I8" s="274"/>
      <c r="J8" s="141" t="str">
        <f t="shared" ref="J8:J37" si="1">IF(ISBLANK($D8),"","days")</f>
        <v/>
      </c>
      <c r="K8" s="102"/>
      <c r="L8" s="458"/>
      <c r="M8" s="459"/>
      <c r="N8" s="316" t="str">
        <f t="shared" ref="N8:N37" si="2">IF(ISBLANK(L8),"",SUM(E8,H8)*VLOOKUP(L8,TravelGrant,2,0))</f>
        <v/>
      </c>
      <c r="O8" s="234" t="str">
        <f>IF(OR(ISBLANK($D8),ISBLANK($K8)),"",IF(LEFT($D8,18)="Long-term teaching",VLOOKUP($K8,Subsistence,2,0)*14+VLOOKUP($K8,Subsistence,3,0)*46+IF($F8&gt;60,VLOOKUP($K8,Subsistence,4,0)*($F8-60),0),IF(LEFT($D8,18)="Short-term joint s",IF($F8&lt;15,Ceilings!$S$3*$F8,Ceilings!$S$3*14+Ceilings!$S$4*($F8-14)),IF($F8&lt;15,Ceilings!$S$6*$F8,Ceilings!$S$6*14+Ceilings!$S$7*($F8-14)))))</f>
        <v/>
      </c>
      <c r="P8" s="235" t="str">
        <f>IF(OR(ISBLANK(D8),ISBLANK(H8),ISBLANK(K8)),"",IF(I8&lt;15,Ceilings!$S$3*I8,Ceilings!$S$3*14+Ceilings!$S$4*(I8-14)))</f>
        <v/>
      </c>
      <c r="Q8" s="233" t="str">
        <f t="shared" ref="Q8:Q37" si="3">IF(O8="","",$E8*O8+IF(P8="",0,$H8*P8))</f>
        <v/>
      </c>
      <c r="R8" s="136"/>
      <c r="S8" s="333" t="str">
        <f>IF(OR(ISBLANK($D8),ISBLANK($K8),ISBLANK(R8)),"",Ceilings!$V$3*R8)</f>
        <v/>
      </c>
      <c r="T8" s="93" t="str">
        <f t="shared" ref="T8:T37" si="4">IF(ISBLANK($A8),"",IF(OR(ISBLANK($C8),ISBLANK($D8),ISBLANK($E8),ISBLANK($K8)),"Missing data",SUM($N8,$Q8,$S8)))</f>
        <v/>
      </c>
    </row>
    <row r="9" spans="1:259" ht="15.75" customHeight="1">
      <c r="A9" s="32"/>
      <c r="B9" s="72" t="str">
        <f>IF(ISBLANK(A9),"",VLOOKUP(A9,Management!$A$11:$C$25,2,0))</f>
        <v/>
      </c>
      <c r="C9" s="60"/>
      <c r="D9" s="79"/>
      <c r="E9" s="60"/>
      <c r="F9" s="274"/>
      <c r="G9" s="141" t="str">
        <f t="shared" si="0"/>
        <v/>
      </c>
      <c r="H9" s="136"/>
      <c r="I9" s="274"/>
      <c r="J9" s="141" t="str">
        <f t="shared" si="1"/>
        <v/>
      </c>
      <c r="K9" s="102"/>
      <c r="L9" s="458"/>
      <c r="M9" s="459"/>
      <c r="N9" s="316" t="str">
        <f t="shared" si="2"/>
        <v/>
      </c>
      <c r="O9" s="234" t="str">
        <f>IF(OR(ISBLANK($D9),ISBLANK($K9)),"",IF(LEFT($D9,18)="Long-term teaching",VLOOKUP($K9,Subsistence,2,0)*14+VLOOKUP($K9,Subsistence,3,0)*46+IF($F9&gt;60,VLOOKUP($K9,Subsistence,4,0)*($F9-60),0),IF(LEFT($D9,18)="Short-term joint s",IF($F9&lt;15,Ceilings!$S$3*$F9,Ceilings!$S$3*14+Ceilings!$S$4*($F9-14)),IF($F9&lt;15,Ceilings!$S$6*$F9,Ceilings!$S$6*14+Ceilings!$S$7*($F9-14)))))</f>
        <v/>
      </c>
      <c r="P9" s="235" t="str">
        <f>IF(OR(ISBLANK(D9),ISBLANK(H9),ISBLANK(K9)),"",IF(I9&lt;15,Ceilings!$S$3*I9,Ceilings!$S$3*14+Ceilings!$S$4*(I9-14)))</f>
        <v/>
      </c>
      <c r="Q9" s="233" t="str">
        <f t="shared" si="3"/>
        <v/>
      </c>
      <c r="R9" s="136"/>
      <c r="S9" s="333" t="str">
        <f>IF(OR(ISBLANK($D9),ISBLANK($K9),ISBLANK(R9)),"",Ceilings!$V$3*R9)</f>
        <v/>
      </c>
      <c r="T9" s="93" t="str">
        <f t="shared" si="4"/>
        <v/>
      </c>
    </row>
    <row r="10" spans="1:259" ht="15.75" customHeight="1">
      <c r="A10" s="32"/>
      <c r="B10" s="72" t="str">
        <f>IF(ISBLANK(A10),"",VLOOKUP(A10,Management!$A$11:$C$25,2,0))</f>
        <v/>
      </c>
      <c r="C10" s="60"/>
      <c r="D10" s="79"/>
      <c r="E10" s="60"/>
      <c r="F10" s="274"/>
      <c r="G10" s="141" t="str">
        <f t="shared" si="0"/>
        <v/>
      </c>
      <c r="H10" s="136"/>
      <c r="I10" s="274"/>
      <c r="J10" s="141" t="str">
        <f t="shared" si="1"/>
        <v/>
      </c>
      <c r="K10" s="102"/>
      <c r="L10" s="458"/>
      <c r="M10" s="459"/>
      <c r="N10" s="316" t="str">
        <f t="shared" si="2"/>
        <v/>
      </c>
      <c r="O10" s="234" t="str">
        <f>IF(OR(ISBLANK($D10),ISBLANK($K10)),"",IF(LEFT($D10,18)="Long-term teaching",VLOOKUP($K10,Subsistence,2,0)*14+VLOOKUP($K10,Subsistence,3,0)*46+IF($F10&gt;60,VLOOKUP($K10,Subsistence,4,0)*($F10-60),0),IF(LEFT($D10,18)="Short-term joint s",IF($F10&lt;15,Ceilings!$S$3*$F10,Ceilings!$S$3*14+Ceilings!$S$4*($F10-14)),IF($F10&lt;15,Ceilings!$S$6*$F10,Ceilings!$S$6*14+Ceilings!$S$7*($F10-14)))))</f>
        <v/>
      </c>
      <c r="P10" s="235" t="str">
        <f>IF(OR(ISBLANK(D10),ISBLANK(H10),ISBLANK(K10)),"",IF(I10&lt;15,Ceilings!$S$3*I10,Ceilings!$S$3*14+Ceilings!$S$4*(I10-14)))</f>
        <v/>
      </c>
      <c r="Q10" s="233" t="str">
        <f t="shared" si="3"/>
        <v/>
      </c>
      <c r="R10" s="136"/>
      <c r="S10" s="333" t="str">
        <f>IF(OR(ISBLANK($D10),ISBLANK($K10),ISBLANK(R10)),"",Ceilings!$V$3*R10)</f>
        <v/>
      </c>
      <c r="T10" s="93" t="str">
        <f t="shared" si="4"/>
        <v/>
      </c>
    </row>
    <row r="11" spans="1:259" ht="15.75" customHeight="1">
      <c r="A11" s="32"/>
      <c r="B11" s="72" t="str">
        <f>IF(ISBLANK(A11),"",VLOOKUP(A11,Management!$A$11:$C$25,2,0))</f>
        <v/>
      </c>
      <c r="C11" s="60"/>
      <c r="D11" s="79"/>
      <c r="E11" s="60"/>
      <c r="F11" s="274"/>
      <c r="G11" s="141" t="str">
        <f t="shared" si="0"/>
        <v/>
      </c>
      <c r="H11" s="136"/>
      <c r="I11" s="274"/>
      <c r="J11" s="141" t="str">
        <f t="shared" si="1"/>
        <v/>
      </c>
      <c r="K11" s="102"/>
      <c r="L11" s="458"/>
      <c r="M11" s="459"/>
      <c r="N11" s="316" t="str">
        <f t="shared" si="2"/>
        <v/>
      </c>
      <c r="O11" s="234" t="str">
        <f>IF(OR(ISBLANK($D11),ISBLANK($K11)),"",IF(LEFT($D11,18)="Long-term teaching",VLOOKUP($K11,Subsistence,2,0)*14+VLOOKUP($K11,Subsistence,3,0)*46+IF($F11&gt;60,VLOOKUP($K11,Subsistence,4,0)*($F11-60),0),IF(LEFT($D11,18)="Short-term joint s",IF($F11&lt;15,Ceilings!$S$3*$F11,Ceilings!$S$3*14+Ceilings!$S$4*($F11-14)),IF($F11&lt;15,Ceilings!$S$6*$F11,Ceilings!$S$6*14+Ceilings!$S$7*($F11-14)))))</f>
        <v/>
      </c>
      <c r="P11" s="235" t="str">
        <f>IF(OR(ISBLANK(D11),ISBLANK(H11),ISBLANK(K11)),"",IF(I11&lt;15,Ceilings!$S$3*I11,Ceilings!$S$3*14+Ceilings!$S$4*(I11-14)))</f>
        <v/>
      </c>
      <c r="Q11" s="233" t="str">
        <f t="shared" si="3"/>
        <v/>
      </c>
      <c r="R11" s="136"/>
      <c r="S11" s="333" t="str">
        <f>IF(OR(ISBLANK($D11),ISBLANK($K11),ISBLANK(R11)),"",Ceilings!$V$3*R11)</f>
        <v/>
      </c>
      <c r="T11" s="93" t="str">
        <f t="shared" si="4"/>
        <v/>
      </c>
    </row>
    <row r="12" spans="1:259" ht="15.75" customHeight="1">
      <c r="A12" s="32"/>
      <c r="B12" s="72" t="str">
        <f>IF(ISBLANK(A12),"",VLOOKUP(A12,Management!$A$11:$C$25,2,0))</f>
        <v/>
      </c>
      <c r="C12" s="60"/>
      <c r="D12" s="79"/>
      <c r="E12" s="60"/>
      <c r="F12" s="274"/>
      <c r="G12" s="141" t="str">
        <f t="shared" si="0"/>
        <v/>
      </c>
      <c r="H12" s="136"/>
      <c r="I12" s="274"/>
      <c r="J12" s="141" t="str">
        <f t="shared" si="1"/>
        <v/>
      </c>
      <c r="K12" s="102"/>
      <c r="L12" s="458"/>
      <c r="M12" s="459"/>
      <c r="N12" s="316" t="str">
        <f t="shared" si="2"/>
        <v/>
      </c>
      <c r="O12" s="234" t="str">
        <f>IF(OR(ISBLANK($D12),ISBLANK($K12)),"",IF(LEFT($D12,18)="Long-term teaching",VLOOKUP($K12,Subsistence,2,0)*14+VLOOKUP($K12,Subsistence,3,0)*46+IF($F12&gt;60,VLOOKUP($K12,Subsistence,4,0)*($F12-60),0),IF(LEFT($D12,18)="Short-term joint s",IF($F12&lt;15,Ceilings!$S$3*$F12,Ceilings!$S$3*14+Ceilings!$S$4*($F12-14)),IF($F12&lt;15,Ceilings!$S$6*$F12,Ceilings!$S$6*14+Ceilings!$S$7*($F12-14)))))</f>
        <v/>
      </c>
      <c r="P12" s="235" t="str">
        <f>IF(OR(ISBLANK(D12),ISBLANK(H12),ISBLANK(K12)),"",IF(I12&lt;15,Ceilings!$S$3*I12,Ceilings!$S$3*14+Ceilings!$S$4*(I12-14)))</f>
        <v/>
      </c>
      <c r="Q12" s="233" t="str">
        <f t="shared" si="3"/>
        <v/>
      </c>
      <c r="R12" s="136"/>
      <c r="S12" s="333" t="str">
        <f>IF(OR(ISBLANK($D12),ISBLANK($K12),ISBLANK(R12)),"",Ceilings!$V$3*R12)</f>
        <v/>
      </c>
      <c r="T12" s="93" t="str">
        <f t="shared" si="4"/>
        <v/>
      </c>
    </row>
    <row r="13" spans="1:259" ht="15.75" customHeight="1">
      <c r="A13" s="32"/>
      <c r="B13" s="72" t="str">
        <f>IF(ISBLANK(A13),"",VLOOKUP(A13,Management!$A$11:$C$25,2,0))</f>
        <v/>
      </c>
      <c r="C13" s="60"/>
      <c r="D13" s="79"/>
      <c r="E13" s="60"/>
      <c r="F13" s="274"/>
      <c r="G13" s="141" t="str">
        <f t="shared" si="0"/>
        <v/>
      </c>
      <c r="H13" s="136"/>
      <c r="I13" s="274"/>
      <c r="J13" s="141" t="str">
        <f t="shared" si="1"/>
        <v/>
      </c>
      <c r="K13" s="102"/>
      <c r="L13" s="458"/>
      <c r="M13" s="459"/>
      <c r="N13" s="316" t="str">
        <f t="shared" si="2"/>
        <v/>
      </c>
      <c r="O13" s="234" t="str">
        <f>IF(OR(ISBLANK($D13),ISBLANK($K13)),"",IF(LEFT($D13,18)="Long-term teaching",VLOOKUP($K13,Subsistence,2,0)*14+VLOOKUP($K13,Subsistence,3,0)*46+IF($F13&gt;60,VLOOKUP($K13,Subsistence,4,0)*($F13-60),0),IF(LEFT($D13,18)="Short-term joint s",IF($F13&lt;15,Ceilings!$S$3*$F13,Ceilings!$S$3*14+Ceilings!$S$4*($F13-14)),IF($F13&lt;15,Ceilings!$S$6*$F13,Ceilings!$S$6*14+Ceilings!$S$7*($F13-14)))))</f>
        <v/>
      </c>
      <c r="P13" s="235" t="str">
        <f>IF(OR(ISBLANK(D13),ISBLANK(H13),ISBLANK(K13)),"",IF(I13&lt;15,Ceilings!$S$3*I13,Ceilings!$S$3*14+Ceilings!$S$4*(I13-14)))</f>
        <v/>
      </c>
      <c r="Q13" s="233" t="str">
        <f t="shared" si="3"/>
        <v/>
      </c>
      <c r="R13" s="136"/>
      <c r="S13" s="333" t="str">
        <f>IF(OR(ISBLANK($D13),ISBLANK($K13),ISBLANK(R13)),"",Ceilings!$V$3*R13)</f>
        <v/>
      </c>
      <c r="T13" s="93" t="str">
        <f t="shared" si="4"/>
        <v/>
      </c>
    </row>
    <row r="14" spans="1:259" ht="15.75" customHeight="1">
      <c r="A14" s="32"/>
      <c r="B14" s="72" t="str">
        <f>IF(ISBLANK(A14),"",VLOOKUP(A14,Management!$A$11:$C$25,2,0))</f>
        <v/>
      </c>
      <c r="C14" s="60"/>
      <c r="D14" s="79"/>
      <c r="E14" s="60"/>
      <c r="F14" s="274"/>
      <c r="G14" s="141" t="str">
        <f t="shared" si="0"/>
        <v/>
      </c>
      <c r="H14" s="136"/>
      <c r="I14" s="274"/>
      <c r="J14" s="141" t="str">
        <f t="shared" si="1"/>
        <v/>
      </c>
      <c r="K14" s="102"/>
      <c r="L14" s="458"/>
      <c r="M14" s="459"/>
      <c r="N14" s="316" t="str">
        <f t="shared" si="2"/>
        <v/>
      </c>
      <c r="O14" s="234" t="str">
        <f>IF(OR(ISBLANK($D14),ISBLANK($K14)),"",IF(LEFT($D14,18)="Long-term teaching",VLOOKUP($K14,Subsistence,2,0)*14+VLOOKUP($K14,Subsistence,3,0)*46+IF($F14&gt;60,VLOOKUP($K14,Subsistence,4,0)*($F14-60),0),IF(LEFT($D14,18)="Short-term joint s",IF($F14&lt;15,Ceilings!$S$3*$F14,Ceilings!$S$3*14+Ceilings!$S$4*($F14-14)),IF($F14&lt;15,Ceilings!$S$6*$F14,Ceilings!$S$6*14+Ceilings!$S$7*($F14-14)))))</f>
        <v/>
      </c>
      <c r="P14" s="235" t="str">
        <f>IF(OR(ISBLANK(D14),ISBLANK(H14),ISBLANK(K14)),"",IF(I14&lt;15,Ceilings!$S$3*I14,Ceilings!$S$3*14+Ceilings!$S$4*(I14-14)))</f>
        <v/>
      </c>
      <c r="Q14" s="233" t="str">
        <f t="shared" si="3"/>
        <v/>
      </c>
      <c r="R14" s="136"/>
      <c r="S14" s="333" t="str">
        <f>IF(OR(ISBLANK($D14),ISBLANK($K14),ISBLANK(R14)),"",Ceilings!$V$3*R14)</f>
        <v/>
      </c>
      <c r="T14" s="93" t="str">
        <f t="shared" si="4"/>
        <v/>
      </c>
    </row>
    <row r="15" spans="1:259" ht="15.75" customHeight="1">
      <c r="A15" s="32"/>
      <c r="B15" s="72" t="str">
        <f>IF(ISBLANK(A15),"",VLOOKUP(A15,Management!$A$11:$C$25,2,0))</f>
        <v/>
      </c>
      <c r="C15" s="60"/>
      <c r="D15" s="79"/>
      <c r="E15" s="60"/>
      <c r="F15" s="274"/>
      <c r="G15" s="141" t="str">
        <f t="shared" si="0"/>
        <v/>
      </c>
      <c r="H15" s="136"/>
      <c r="I15" s="274"/>
      <c r="J15" s="141" t="str">
        <f t="shared" si="1"/>
        <v/>
      </c>
      <c r="K15" s="102"/>
      <c r="L15" s="458"/>
      <c r="M15" s="459"/>
      <c r="N15" s="316" t="str">
        <f t="shared" si="2"/>
        <v/>
      </c>
      <c r="O15" s="234" t="str">
        <f>IF(OR(ISBLANK($D15),ISBLANK($K15)),"",IF(LEFT($D15,18)="Long-term teaching",VLOOKUP($K15,Subsistence,2,0)*14+VLOOKUP($K15,Subsistence,3,0)*46+IF($F15&gt;60,VLOOKUP($K15,Subsistence,4,0)*($F15-60),0),IF(LEFT($D15,18)="Short-term joint s",IF($F15&lt;15,Ceilings!$S$3*$F15,Ceilings!$S$3*14+Ceilings!$S$4*($F15-14)),IF($F15&lt;15,Ceilings!$S$6*$F15,Ceilings!$S$6*14+Ceilings!$S$7*($F15-14)))))</f>
        <v/>
      </c>
      <c r="P15" s="235" t="str">
        <f>IF(OR(ISBLANK(D15),ISBLANK(H15),ISBLANK(K15)),"",IF(I15&lt;15,Ceilings!$S$3*I15,Ceilings!$S$3*14+Ceilings!$S$4*(I15-14)))</f>
        <v/>
      </c>
      <c r="Q15" s="233" t="str">
        <f t="shared" si="3"/>
        <v/>
      </c>
      <c r="R15" s="136"/>
      <c r="S15" s="333" t="str">
        <f>IF(OR(ISBLANK($D15),ISBLANK($K15),ISBLANK(R15)),"",Ceilings!$V$3*R15)</f>
        <v/>
      </c>
      <c r="T15" s="93" t="str">
        <f t="shared" si="4"/>
        <v/>
      </c>
    </row>
    <row r="16" spans="1:259" ht="15.75" customHeight="1">
      <c r="A16" s="32"/>
      <c r="B16" s="72" t="str">
        <f>IF(ISBLANK(A16),"",VLOOKUP(A16,Management!$A$11:$C$25,2,0))</f>
        <v/>
      </c>
      <c r="C16" s="60"/>
      <c r="D16" s="79"/>
      <c r="E16" s="60"/>
      <c r="F16" s="274"/>
      <c r="G16" s="141" t="str">
        <f t="shared" si="0"/>
        <v/>
      </c>
      <c r="H16" s="136"/>
      <c r="I16" s="274"/>
      <c r="J16" s="141" t="str">
        <f t="shared" si="1"/>
        <v/>
      </c>
      <c r="K16" s="102"/>
      <c r="L16" s="458"/>
      <c r="M16" s="459"/>
      <c r="N16" s="316" t="str">
        <f t="shared" si="2"/>
        <v/>
      </c>
      <c r="O16" s="234" t="str">
        <f>IF(OR(ISBLANK($D16),ISBLANK($K16)),"",IF(LEFT($D16,18)="Long-term teaching",VLOOKUP($K16,Subsistence,2,0)*14+VLOOKUP($K16,Subsistence,3,0)*46+IF($F16&gt;60,VLOOKUP($K16,Subsistence,4,0)*($F16-60),0),IF(LEFT($D16,18)="Short-term joint s",IF($F16&lt;15,Ceilings!$S$3*$F16,Ceilings!$S$3*14+Ceilings!$S$4*($F16-14)),IF($F16&lt;15,Ceilings!$S$6*$F16,Ceilings!$S$6*14+Ceilings!$S$7*($F16-14)))))</f>
        <v/>
      </c>
      <c r="P16" s="235" t="str">
        <f>IF(OR(ISBLANK(D16),ISBLANK(H16),ISBLANK(K16)),"",IF(I16&lt;15,Ceilings!$S$3*I16,Ceilings!$S$3*14+Ceilings!$S$4*(I16-14)))</f>
        <v/>
      </c>
      <c r="Q16" s="233" t="str">
        <f t="shared" si="3"/>
        <v/>
      </c>
      <c r="R16" s="136"/>
      <c r="S16" s="333" t="str">
        <f>IF(OR(ISBLANK($D16),ISBLANK($K16),ISBLANK(R16)),"",Ceilings!$V$3*R16)</f>
        <v/>
      </c>
      <c r="T16" s="93" t="str">
        <f t="shared" si="4"/>
        <v/>
      </c>
    </row>
    <row r="17" spans="1:20" ht="15.75" customHeight="1">
      <c r="A17" s="32"/>
      <c r="B17" s="72" t="str">
        <f>IF(ISBLANK(A17),"",VLOOKUP(A17,Management!$A$11:$C$25,2,0))</f>
        <v/>
      </c>
      <c r="C17" s="60"/>
      <c r="D17" s="79"/>
      <c r="E17" s="60"/>
      <c r="F17" s="274"/>
      <c r="G17" s="141" t="str">
        <f t="shared" si="0"/>
        <v/>
      </c>
      <c r="H17" s="136"/>
      <c r="I17" s="274"/>
      <c r="J17" s="141" t="str">
        <f t="shared" si="1"/>
        <v/>
      </c>
      <c r="K17" s="102"/>
      <c r="L17" s="458"/>
      <c r="M17" s="459"/>
      <c r="N17" s="316" t="str">
        <f t="shared" si="2"/>
        <v/>
      </c>
      <c r="O17" s="234" t="str">
        <f>IF(OR(ISBLANK($D17),ISBLANK($K17)),"",IF(LEFT($D17,18)="Long-term teaching",VLOOKUP($K17,Subsistence,2,0)*14+VLOOKUP($K17,Subsistence,3,0)*46+IF($F17&gt;60,VLOOKUP($K17,Subsistence,4,0)*($F17-60),0),IF(LEFT($D17,18)="Short-term joint s",IF($F17&lt;15,Ceilings!$S$3*$F17,Ceilings!$S$3*14+Ceilings!$S$4*($F17-14)),IF($F17&lt;15,Ceilings!$S$6*$F17,Ceilings!$S$6*14+Ceilings!$S$7*($F17-14)))))</f>
        <v/>
      </c>
      <c r="P17" s="235" t="str">
        <f>IF(OR(ISBLANK(D17),ISBLANK(H17),ISBLANK(K17)),"",IF(I17&lt;15,Ceilings!$S$3*I17,Ceilings!$S$3*14+Ceilings!$S$4*(I17-14)))</f>
        <v/>
      </c>
      <c r="Q17" s="233" t="str">
        <f t="shared" si="3"/>
        <v/>
      </c>
      <c r="R17" s="136"/>
      <c r="S17" s="333" t="str">
        <f>IF(OR(ISBLANK($D17),ISBLANK($K17),ISBLANK(R17)),"",Ceilings!$V$3*R17)</f>
        <v/>
      </c>
      <c r="T17" s="93" t="str">
        <f t="shared" si="4"/>
        <v/>
      </c>
    </row>
    <row r="18" spans="1:20" ht="15.75" customHeight="1">
      <c r="A18" s="32"/>
      <c r="B18" s="72" t="str">
        <f>IF(ISBLANK(A18),"",VLOOKUP(A18,Management!$A$11:$C$25,2,0))</f>
        <v/>
      </c>
      <c r="C18" s="60"/>
      <c r="D18" s="79"/>
      <c r="E18" s="60"/>
      <c r="F18" s="274"/>
      <c r="G18" s="141" t="str">
        <f t="shared" si="0"/>
        <v/>
      </c>
      <c r="H18" s="136"/>
      <c r="I18" s="274"/>
      <c r="J18" s="141" t="str">
        <f t="shared" si="1"/>
        <v/>
      </c>
      <c r="K18" s="102"/>
      <c r="L18" s="458"/>
      <c r="M18" s="459"/>
      <c r="N18" s="316" t="str">
        <f t="shared" si="2"/>
        <v/>
      </c>
      <c r="O18" s="234" t="str">
        <f>IF(OR(ISBLANK($D18),ISBLANK($K18)),"",IF(LEFT($D18,18)="Long-term teaching",VLOOKUP($K18,Subsistence,2,0)*14+VLOOKUP($K18,Subsistence,3,0)*46+IF($F18&gt;60,VLOOKUP($K18,Subsistence,4,0)*($F18-60),0),IF(LEFT($D18,18)="Short-term joint s",IF($F18&lt;15,Ceilings!$S$3*$F18,Ceilings!$S$3*14+Ceilings!$S$4*($F18-14)),IF($F18&lt;15,Ceilings!$S$6*$F18,Ceilings!$S$6*14+Ceilings!$S$7*($F18-14)))))</f>
        <v/>
      </c>
      <c r="P18" s="235" t="str">
        <f>IF(OR(ISBLANK(D18),ISBLANK(H18),ISBLANK(K18)),"",IF(I18&lt;15,Ceilings!$S$3*I18,Ceilings!$S$3*14+Ceilings!$S$4*(I18-14)))</f>
        <v/>
      </c>
      <c r="Q18" s="233" t="str">
        <f t="shared" si="3"/>
        <v/>
      </c>
      <c r="R18" s="136"/>
      <c r="S18" s="333" t="str">
        <f>IF(OR(ISBLANK($D18),ISBLANK($K18),ISBLANK(R18)),"",Ceilings!$V$3*R18)</f>
        <v/>
      </c>
      <c r="T18" s="93" t="str">
        <f t="shared" si="4"/>
        <v/>
      </c>
    </row>
    <row r="19" spans="1:20" ht="15.75" customHeight="1">
      <c r="A19" s="32"/>
      <c r="B19" s="72" t="str">
        <f>IF(ISBLANK(A19),"",VLOOKUP(A19,Management!$A$11:$C$25,2,0))</f>
        <v/>
      </c>
      <c r="C19" s="60"/>
      <c r="D19" s="79"/>
      <c r="E19" s="60"/>
      <c r="F19" s="274"/>
      <c r="G19" s="141" t="str">
        <f t="shared" si="0"/>
        <v/>
      </c>
      <c r="H19" s="136"/>
      <c r="I19" s="274"/>
      <c r="J19" s="141" t="str">
        <f t="shared" si="1"/>
        <v/>
      </c>
      <c r="K19" s="102"/>
      <c r="L19" s="458"/>
      <c r="M19" s="459"/>
      <c r="N19" s="316" t="str">
        <f t="shared" si="2"/>
        <v/>
      </c>
      <c r="O19" s="234" t="str">
        <f>IF(OR(ISBLANK($D19),ISBLANK($K19)),"",IF(LEFT($D19,18)="Long-term teaching",VLOOKUP($K19,Subsistence,2,0)*14+VLOOKUP($K19,Subsistence,3,0)*46+IF($F19&gt;60,VLOOKUP($K19,Subsistence,4,0)*($F19-60),0),IF(LEFT($D19,18)="Short-term joint s",IF($F19&lt;15,Ceilings!$S$3*$F19,Ceilings!$S$3*14+Ceilings!$S$4*($F19-14)),IF($F19&lt;15,Ceilings!$S$6*$F19,Ceilings!$S$6*14+Ceilings!$S$7*($F19-14)))))</f>
        <v/>
      </c>
      <c r="P19" s="235" t="str">
        <f>IF(OR(ISBLANK(D19),ISBLANK(H19),ISBLANK(K19)),"",IF(I19&lt;15,Ceilings!$S$3*I19,Ceilings!$S$3*14+Ceilings!$S$4*(I19-14)))</f>
        <v/>
      </c>
      <c r="Q19" s="233" t="str">
        <f t="shared" si="3"/>
        <v/>
      </c>
      <c r="R19" s="136"/>
      <c r="S19" s="333" t="str">
        <f>IF(OR(ISBLANK($D19),ISBLANK($K19),ISBLANK(R19)),"",Ceilings!$V$3*R19)</f>
        <v/>
      </c>
      <c r="T19" s="93" t="str">
        <f t="shared" si="4"/>
        <v/>
      </c>
    </row>
    <row r="20" spans="1:20" ht="15.75" customHeight="1">
      <c r="A20" s="32"/>
      <c r="B20" s="72" t="str">
        <f>IF(ISBLANK(A20),"",VLOOKUP(A20,Management!$A$11:$C$25,2,0))</f>
        <v/>
      </c>
      <c r="C20" s="60"/>
      <c r="D20" s="79"/>
      <c r="E20" s="60"/>
      <c r="F20" s="274"/>
      <c r="G20" s="141" t="str">
        <f t="shared" si="0"/>
        <v/>
      </c>
      <c r="H20" s="136"/>
      <c r="I20" s="274"/>
      <c r="J20" s="141" t="str">
        <f t="shared" si="1"/>
        <v/>
      </c>
      <c r="K20" s="102"/>
      <c r="L20" s="458"/>
      <c r="M20" s="459"/>
      <c r="N20" s="316" t="str">
        <f t="shared" si="2"/>
        <v/>
      </c>
      <c r="O20" s="234" t="str">
        <f>IF(OR(ISBLANK($D20),ISBLANK($K20)),"",IF(LEFT($D20,18)="Long-term teaching",VLOOKUP($K20,Subsistence,2,0)*14+VLOOKUP($K20,Subsistence,3,0)*46+IF($F20&gt;60,VLOOKUP($K20,Subsistence,4,0)*($F20-60),0),IF(LEFT($D20,18)="Short-term joint s",IF($F20&lt;15,Ceilings!$S$3*$F20,Ceilings!$S$3*14+Ceilings!$S$4*($F20-14)),IF($F20&lt;15,Ceilings!$S$6*$F20,Ceilings!$S$6*14+Ceilings!$S$7*($F20-14)))))</f>
        <v/>
      </c>
      <c r="P20" s="235" t="str">
        <f>IF(OR(ISBLANK(D20),ISBLANK(H20),ISBLANK(K20)),"",IF(I20&lt;15,Ceilings!$S$3*I20,Ceilings!$S$3*14+Ceilings!$S$4*(I20-14)))</f>
        <v/>
      </c>
      <c r="Q20" s="233" t="str">
        <f t="shared" si="3"/>
        <v/>
      </c>
      <c r="R20" s="136"/>
      <c r="S20" s="333" t="str">
        <f>IF(OR(ISBLANK($D20),ISBLANK($K20),ISBLANK(R20)),"",Ceilings!$V$3*R20)</f>
        <v/>
      </c>
      <c r="T20" s="93" t="str">
        <f t="shared" si="4"/>
        <v/>
      </c>
    </row>
    <row r="21" spans="1:20" ht="15.75" customHeight="1">
      <c r="A21" s="32"/>
      <c r="B21" s="72" t="str">
        <f>IF(ISBLANK(A21),"",VLOOKUP(A21,Management!$A$11:$C$25,2,0))</f>
        <v/>
      </c>
      <c r="C21" s="60"/>
      <c r="D21" s="79"/>
      <c r="E21" s="60"/>
      <c r="F21" s="274"/>
      <c r="G21" s="141" t="str">
        <f t="shared" si="0"/>
        <v/>
      </c>
      <c r="H21" s="136"/>
      <c r="I21" s="274"/>
      <c r="J21" s="141" t="str">
        <f t="shared" si="1"/>
        <v/>
      </c>
      <c r="K21" s="102"/>
      <c r="L21" s="458"/>
      <c r="M21" s="459"/>
      <c r="N21" s="316" t="str">
        <f t="shared" si="2"/>
        <v/>
      </c>
      <c r="O21" s="234" t="str">
        <f>IF(OR(ISBLANK($D21),ISBLANK($K21)),"",IF(LEFT($D21,18)="Long-term teaching",VLOOKUP($K21,Subsistence,2,0)*14+VLOOKUP($K21,Subsistence,3,0)*46+IF($F21&gt;60,VLOOKUP($K21,Subsistence,4,0)*($F21-60),0),IF(LEFT($D21,18)="Short-term joint s",IF($F21&lt;15,Ceilings!$S$3*$F21,Ceilings!$S$3*14+Ceilings!$S$4*($F21-14)),IF($F21&lt;15,Ceilings!$S$6*$F21,Ceilings!$S$6*14+Ceilings!$S$7*($F21-14)))))</f>
        <v/>
      </c>
      <c r="P21" s="235" t="str">
        <f>IF(OR(ISBLANK(D21),ISBLANK(H21),ISBLANK(K21)),"",IF(I21&lt;15,Ceilings!$S$3*I21,Ceilings!$S$3*14+Ceilings!$S$4*(I21-14)))</f>
        <v/>
      </c>
      <c r="Q21" s="233" t="str">
        <f t="shared" si="3"/>
        <v/>
      </c>
      <c r="R21" s="136"/>
      <c r="S21" s="333" t="str">
        <f>IF(OR(ISBLANK($D21),ISBLANK($K21),ISBLANK(R21)),"",Ceilings!$V$3*R21)</f>
        <v/>
      </c>
      <c r="T21" s="93" t="str">
        <f t="shared" si="4"/>
        <v/>
      </c>
    </row>
    <row r="22" spans="1:20" ht="15.75" customHeight="1">
      <c r="A22" s="32"/>
      <c r="B22" s="72" t="str">
        <f>IF(ISBLANK(A22),"",VLOOKUP(A22,Management!$A$11:$C$25,2,0))</f>
        <v/>
      </c>
      <c r="C22" s="60"/>
      <c r="D22" s="79"/>
      <c r="E22" s="60"/>
      <c r="F22" s="274"/>
      <c r="G22" s="141" t="str">
        <f t="shared" si="0"/>
        <v/>
      </c>
      <c r="H22" s="136"/>
      <c r="I22" s="274"/>
      <c r="J22" s="141" t="str">
        <f t="shared" si="1"/>
        <v/>
      </c>
      <c r="K22" s="102"/>
      <c r="L22" s="458"/>
      <c r="M22" s="459"/>
      <c r="N22" s="316" t="str">
        <f t="shared" si="2"/>
        <v/>
      </c>
      <c r="O22" s="234" t="str">
        <f>IF(OR(ISBLANK($D22),ISBLANK($K22)),"",IF(LEFT($D22,18)="Long-term teaching",VLOOKUP($K22,Subsistence,2,0)*14+VLOOKUP($K22,Subsistence,3,0)*46+IF($F22&gt;60,VLOOKUP($K22,Subsistence,4,0)*($F22-60),0),IF(LEFT($D22,18)="Short-term joint s",IF($F22&lt;15,Ceilings!$S$3*$F22,Ceilings!$S$3*14+Ceilings!$S$4*($F22-14)),IF($F22&lt;15,Ceilings!$S$6*$F22,Ceilings!$S$6*14+Ceilings!$S$7*($F22-14)))))</f>
        <v/>
      </c>
      <c r="P22" s="235" t="str">
        <f>IF(OR(ISBLANK(D22),ISBLANK(H22),ISBLANK(K22)),"",IF(I22&lt;15,Ceilings!$S$3*I22,Ceilings!$S$3*14+Ceilings!$S$4*(I22-14)))</f>
        <v/>
      </c>
      <c r="Q22" s="233" t="str">
        <f t="shared" si="3"/>
        <v/>
      </c>
      <c r="R22" s="136"/>
      <c r="S22" s="333" t="str">
        <f>IF(OR(ISBLANK($D22),ISBLANK($K22),ISBLANK(R22)),"",Ceilings!$V$3*R22)</f>
        <v/>
      </c>
      <c r="T22" s="93" t="str">
        <f t="shared" si="4"/>
        <v/>
      </c>
    </row>
    <row r="23" spans="1:20" ht="15.75" customHeight="1">
      <c r="A23" s="32"/>
      <c r="B23" s="72" t="str">
        <f>IF(ISBLANK(A23),"",VLOOKUP(A23,Management!$A$11:$C$25,2,0))</f>
        <v/>
      </c>
      <c r="C23" s="60"/>
      <c r="D23" s="79"/>
      <c r="E23" s="60"/>
      <c r="F23" s="274"/>
      <c r="G23" s="141" t="str">
        <f t="shared" si="0"/>
        <v/>
      </c>
      <c r="H23" s="136"/>
      <c r="I23" s="274"/>
      <c r="J23" s="141" t="str">
        <f t="shared" si="1"/>
        <v/>
      </c>
      <c r="K23" s="102"/>
      <c r="L23" s="458"/>
      <c r="M23" s="459"/>
      <c r="N23" s="316" t="str">
        <f t="shared" si="2"/>
        <v/>
      </c>
      <c r="O23" s="234" t="str">
        <f>IF(OR(ISBLANK($D23),ISBLANK($K23)),"",IF(LEFT($D23,18)="Long-term teaching",VLOOKUP($K23,Subsistence,2,0)*14+VLOOKUP($K23,Subsistence,3,0)*46+IF($F23&gt;60,VLOOKUP($K23,Subsistence,4,0)*($F23-60),0),IF(LEFT($D23,18)="Short-term joint s",IF($F23&lt;15,Ceilings!$S$3*$F23,Ceilings!$S$3*14+Ceilings!$S$4*($F23-14)),IF($F23&lt;15,Ceilings!$S$6*$F23,Ceilings!$S$6*14+Ceilings!$S$7*($F23-14)))))</f>
        <v/>
      </c>
      <c r="P23" s="235" t="str">
        <f>IF(OR(ISBLANK(D23),ISBLANK(H23),ISBLANK(K23)),"",IF(I23&lt;15,Ceilings!$S$3*I23,Ceilings!$S$3*14+Ceilings!$S$4*(I23-14)))</f>
        <v/>
      </c>
      <c r="Q23" s="233" t="str">
        <f t="shared" si="3"/>
        <v/>
      </c>
      <c r="R23" s="136"/>
      <c r="S23" s="333" t="str">
        <f>IF(OR(ISBLANK($D23),ISBLANK($K23),ISBLANK(R23)),"",Ceilings!$V$3*R23)</f>
        <v/>
      </c>
      <c r="T23" s="93" t="str">
        <f t="shared" si="4"/>
        <v/>
      </c>
    </row>
    <row r="24" spans="1:20" ht="15.75" customHeight="1">
      <c r="A24" s="32"/>
      <c r="B24" s="72" t="str">
        <f>IF(ISBLANK(A24),"",VLOOKUP(A24,Management!$A$11:$C$25,2,0))</f>
        <v/>
      </c>
      <c r="C24" s="60"/>
      <c r="D24" s="79"/>
      <c r="E24" s="60"/>
      <c r="F24" s="274"/>
      <c r="G24" s="141" t="str">
        <f t="shared" si="0"/>
        <v/>
      </c>
      <c r="H24" s="136"/>
      <c r="I24" s="274"/>
      <c r="J24" s="141" t="str">
        <f t="shared" si="1"/>
        <v/>
      </c>
      <c r="K24" s="102"/>
      <c r="L24" s="458"/>
      <c r="M24" s="459"/>
      <c r="N24" s="316" t="str">
        <f t="shared" si="2"/>
        <v/>
      </c>
      <c r="O24" s="234" t="str">
        <f>IF(OR(ISBLANK($D24),ISBLANK($K24)),"",IF(LEFT($D24,18)="Long-term teaching",VLOOKUP($K24,Subsistence,2,0)*14+VLOOKUP($K24,Subsistence,3,0)*46+IF($F24&gt;60,VLOOKUP($K24,Subsistence,4,0)*($F24-60),0),IF(LEFT($D24,18)="Short-term joint s",IF($F24&lt;15,Ceilings!$S$3*$F24,Ceilings!$S$3*14+Ceilings!$S$4*($F24-14)),IF($F24&lt;15,Ceilings!$S$6*$F24,Ceilings!$S$6*14+Ceilings!$S$7*($F24-14)))))</f>
        <v/>
      </c>
      <c r="P24" s="235" t="str">
        <f>IF(OR(ISBLANK(D24),ISBLANK(H24),ISBLANK(K24)),"",IF(I24&lt;15,Ceilings!$S$3*I24,Ceilings!$S$3*14+Ceilings!$S$4*(I24-14)))</f>
        <v/>
      </c>
      <c r="Q24" s="233" t="str">
        <f t="shared" si="3"/>
        <v/>
      </c>
      <c r="R24" s="136"/>
      <c r="S24" s="333" t="str">
        <f>IF(OR(ISBLANK($D24),ISBLANK($K24),ISBLANK(R24)),"",Ceilings!$V$3*R24)</f>
        <v/>
      </c>
      <c r="T24" s="93" t="str">
        <f t="shared" si="4"/>
        <v/>
      </c>
    </row>
    <row r="25" spans="1:20" ht="15.75" customHeight="1">
      <c r="A25" s="32"/>
      <c r="B25" s="72" t="str">
        <f>IF(ISBLANK(A25),"",VLOOKUP(A25,Management!$A$11:$C$25,2,0))</f>
        <v/>
      </c>
      <c r="C25" s="60"/>
      <c r="D25" s="79"/>
      <c r="E25" s="60"/>
      <c r="F25" s="274"/>
      <c r="G25" s="141" t="str">
        <f t="shared" si="0"/>
        <v/>
      </c>
      <c r="H25" s="136"/>
      <c r="I25" s="274"/>
      <c r="J25" s="141" t="str">
        <f t="shared" si="1"/>
        <v/>
      </c>
      <c r="K25" s="102"/>
      <c r="L25" s="458"/>
      <c r="M25" s="459"/>
      <c r="N25" s="316" t="str">
        <f t="shared" si="2"/>
        <v/>
      </c>
      <c r="O25" s="234" t="str">
        <f>IF(OR(ISBLANK($D25),ISBLANK($K25)),"",IF(LEFT($D25,18)="Long-term teaching",VLOOKUP($K25,Subsistence,2,0)*14+VLOOKUP($K25,Subsistence,3,0)*46+IF($F25&gt;60,VLOOKUP($K25,Subsistence,4,0)*($F25-60),0),IF(LEFT($D25,18)="Short-term joint s",IF($F25&lt;15,Ceilings!$S$3*$F25,Ceilings!$S$3*14+Ceilings!$S$4*($F25-14)),IF($F25&lt;15,Ceilings!$S$6*$F25,Ceilings!$S$6*14+Ceilings!$S$7*($F25-14)))))</f>
        <v/>
      </c>
      <c r="P25" s="235" t="str">
        <f>IF(OR(ISBLANK(D25),ISBLANK(H25),ISBLANK(K25)),"",IF(I25&lt;15,Ceilings!$S$3*I25,Ceilings!$S$3*14+Ceilings!$S$4*(I25-14)))</f>
        <v/>
      </c>
      <c r="Q25" s="233" t="str">
        <f t="shared" si="3"/>
        <v/>
      </c>
      <c r="R25" s="136"/>
      <c r="S25" s="333" t="str">
        <f>IF(OR(ISBLANK($D25),ISBLANK($K25),ISBLANK(R25)),"",Ceilings!$V$3*R25)</f>
        <v/>
      </c>
      <c r="T25" s="93" t="str">
        <f t="shared" si="4"/>
        <v/>
      </c>
    </row>
    <row r="26" spans="1:20" ht="15.75" customHeight="1">
      <c r="A26" s="32"/>
      <c r="B26" s="72" t="str">
        <f>IF(ISBLANK(A26),"",VLOOKUP(A26,Management!$A$11:$C$25,2,0))</f>
        <v/>
      </c>
      <c r="C26" s="60"/>
      <c r="D26" s="79"/>
      <c r="E26" s="60"/>
      <c r="F26" s="274"/>
      <c r="G26" s="141" t="str">
        <f t="shared" si="0"/>
        <v/>
      </c>
      <c r="H26" s="136"/>
      <c r="I26" s="274"/>
      <c r="J26" s="141" t="str">
        <f t="shared" si="1"/>
        <v/>
      </c>
      <c r="K26" s="102"/>
      <c r="L26" s="458"/>
      <c r="M26" s="459"/>
      <c r="N26" s="316" t="str">
        <f t="shared" si="2"/>
        <v/>
      </c>
      <c r="O26" s="234" t="str">
        <f>IF(OR(ISBLANK($D26),ISBLANK($K26)),"",IF(LEFT($D26,18)="Long-term teaching",VLOOKUP($K26,Subsistence,2,0)*14+VLOOKUP($K26,Subsistence,3,0)*46+IF($F26&gt;60,VLOOKUP($K26,Subsistence,4,0)*($F26-60),0),IF(LEFT($D26,18)="Short-term joint s",IF($F26&lt;15,Ceilings!$S$3*$F26,Ceilings!$S$3*14+Ceilings!$S$4*($F26-14)),IF($F26&lt;15,Ceilings!$S$6*$F26,Ceilings!$S$6*14+Ceilings!$S$7*($F26-14)))))</f>
        <v/>
      </c>
      <c r="P26" s="235" t="str">
        <f>IF(OR(ISBLANK(D26),ISBLANK(H26),ISBLANK(K26)),"",IF(I26&lt;15,Ceilings!$S$3*I26,Ceilings!$S$3*14+Ceilings!$S$4*(I26-14)))</f>
        <v/>
      </c>
      <c r="Q26" s="233" t="str">
        <f t="shared" si="3"/>
        <v/>
      </c>
      <c r="R26" s="136"/>
      <c r="S26" s="333" t="str">
        <f>IF(OR(ISBLANK($D26),ISBLANK($K26),ISBLANK(R26)),"",Ceilings!$V$3*R26)</f>
        <v/>
      </c>
      <c r="T26" s="93" t="str">
        <f t="shared" si="4"/>
        <v/>
      </c>
    </row>
    <row r="27" spans="1:20" ht="15.75" customHeight="1">
      <c r="A27" s="32"/>
      <c r="B27" s="72" t="str">
        <f>IF(ISBLANK(A27),"",VLOOKUP(A27,Management!$A$11:$C$25,2,0))</f>
        <v/>
      </c>
      <c r="C27" s="60"/>
      <c r="D27" s="79"/>
      <c r="E27" s="60"/>
      <c r="F27" s="274"/>
      <c r="G27" s="141" t="str">
        <f t="shared" si="0"/>
        <v/>
      </c>
      <c r="H27" s="136"/>
      <c r="I27" s="274"/>
      <c r="J27" s="141" t="str">
        <f t="shared" si="1"/>
        <v/>
      </c>
      <c r="K27" s="102"/>
      <c r="L27" s="458"/>
      <c r="M27" s="459"/>
      <c r="N27" s="316" t="str">
        <f t="shared" si="2"/>
        <v/>
      </c>
      <c r="O27" s="234" t="str">
        <f>IF(OR(ISBLANK($D27),ISBLANK($K27)),"",IF(LEFT($D27,18)="Long-term teaching",VLOOKUP($K27,Subsistence,2,0)*14+VLOOKUP($K27,Subsistence,3,0)*46+IF($F27&gt;60,VLOOKUP($K27,Subsistence,4,0)*($F27-60),0),IF(LEFT($D27,18)="Short-term joint s",IF($F27&lt;15,Ceilings!$S$3*$F27,Ceilings!$S$3*14+Ceilings!$S$4*($F27-14)),IF($F27&lt;15,Ceilings!$S$6*$F27,Ceilings!$S$6*14+Ceilings!$S$7*($F27-14)))))</f>
        <v/>
      </c>
      <c r="P27" s="235" t="str">
        <f>IF(OR(ISBLANK(D27),ISBLANK(H27),ISBLANK(K27)),"",IF(I27&lt;15,Ceilings!$S$3*I27,Ceilings!$S$3*14+Ceilings!$S$4*(I27-14)))</f>
        <v/>
      </c>
      <c r="Q27" s="233" t="str">
        <f t="shared" si="3"/>
        <v/>
      </c>
      <c r="R27" s="136"/>
      <c r="S27" s="333" t="str">
        <f>IF(OR(ISBLANK($D27),ISBLANK($K27),ISBLANK(R27)),"",Ceilings!$V$3*R27)</f>
        <v/>
      </c>
      <c r="T27" s="93" t="str">
        <f t="shared" si="4"/>
        <v/>
      </c>
    </row>
    <row r="28" spans="1:20" ht="15.75" customHeight="1">
      <c r="A28" s="32"/>
      <c r="B28" s="72" t="str">
        <f>IF(ISBLANK(A28),"",VLOOKUP(A28,Management!$A$11:$C$25,2,0))</f>
        <v/>
      </c>
      <c r="C28" s="60"/>
      <c r="D28" s="79"/>
      <c r="E28" s="60"/>
      <c r="F28" s="274"/>
      <c r="G28" s="141" t="str">
        <f t="shared" si="0"/>
        <v/>
      </c>
      <c r="H28" s="136"/>
      <c r="I28" s="274"/>
      <c r="J28" s="141" t="str">
        <f t="shared" si="1"/>
        <v/>
      </c>
      <c r="K28" s="102"/>
      <c r="L28" s="458"/>
      <c r="M28" s="459"/>
      <c r="N28" s="316" t="str">
        <f t="shared" si="2"/>
        <v/>
      </c>
      <c r="O28" s="234" t="str">
        <f>IF(OR(ISBLANK($D28),ISBLANK($K28)),"",IF(LEFT($D28,18)="Long-term teaching",VLOOKUP($K28,Subsistence,2,0)*14+VLOOKUP($K28,Subsistence,3,0)*46+IF($F28&gt;60,VLOOKUP($K28,Subsistence,4,0)*($F28-60),0),IF(LEFT($D28,18)="Short-term joint s",IF($F28&lt;15,Ceilings!$S$3*$F28,Ceilings!$S$3*14+Ceilings!$S$4*($F28-14)),IF($F28&lt;15,Ceilings!$S$6*$F28,Ceilings!$S$6*14+Ceilings!$S$7*($F28-14)))))</f>
        <v/>
      </c>
      <c r="P28" s="235" t="str">
        <f>IF(OR(ISBLANK(D28),ISBLANK(H28),ISBLANK(K28)),"",IF(I28&lt;15,Ceilings!$S$3*I28,Ceilings!$S$3*14+Ceilings!$S$4*(I28-14)))</f>
        <v/>
      </c>
      <c r="Q28" s="233" t="str">
        <f t="shared" si="3"/>
        <v/>
      </c>
      <c r="R28" s="136"/>
      <c r="S28" s="333" t="str">
        <f>IF(OR(ISBLANK($D28),ISBLANK($K28),ISBLANK(R28)),"",Ceilings!$V$3*R28)</f>
        <v/>
      </c>
      <c r="T28" s="93" t="str">
        <f t="shared" si="4"/>
        <v/>
      </c>
    </row>
    <row r="29" spans="1:20" ht="15.75" customHeight="1">
      <c r="A29" s="32"/>
      <c r="B29" s="72" t="str">
        <f>IF(ISBLANK(A29),"",VLOOKUP(A29,Management!$A$11:$C$25,2,0))</f>
        <v/>
      </c>
      <c r="C29" s="60"/>
      <c r="D29" s="79"/>
      <c r="E29" s="60"/>
      <c r="F29" s="274"/>
      <c r="G29" s="141" t="str">
        <f t="shared" si="0"/>
        <v/>
      </c>
      <c r="H29" s="136"/>
      <c r="I29" s="274"/>
      <c r="J29" s="141" t="str">
        <f t="shared" si="1"/>
        <v/>
      </c>
      <c r="K29" s="102"/>
      <c r="L29" s="458"/>
      <c r="M29" s="459"/>
      <c r="N29" s="316" t="str">
        <f t="shared" si="2"/>
        <v/>
      </c>
      <c r="O29" s="234" t="str">
        <f>IF(OR(ISBLANK($D29),ISBLANK($K29)),"",IF(LEFT($D29,18)="Long-term teaching",VLOOKUP($K29,Subsistence,2,0)*14+VLOOKUP($K29,Subsistence,3,0)*46+IF($F29&gt;60,VLOOKUP($K29,Subsistence,4,0)*($F29-60),0),IF(LEFT($D29,18)="Short-term joint s",IF($F29&lt;15,Ceilings!$S$3*$F29,Ceilings!$S$3*14+Ceilings!$S$4*($F29-14)),IF($F29&lt;15,Ceilings!$S$6*$F29,Ceilings!$S$6*14+Ceilings!$S$7*($F29-14)))))</f>
        <v/>
      </c>
      <c r="P29" s="235" t="str">
        <f>IF(OR(ISBLANK(D29),ISBLANK(H29),ISBLANK(K29)),"",IF(I29&lt;15,Ceilings!$S$3*I29,Ceilings!$S$3*14+Ceilings!$S$4*(I29-14)))</f>
        <v/>
      </c>
      <c r="Q29" s="233" t="str">
        <f t="shared" si="3"/>
        <v/>
      </c>
      <c r="R29" s="136"/>
      <c r="S29" s="333" t="str">
        <f>IF(OR(ISBLANK($D29),ISBLANK($K29),ISBLANK(R29)),"",Ceilings!$V$3*R29)</f>
        <v/>
      </c>
      <c r="T29" s="93" t="str">
        <f t="shared" si="4"/>
        <v/>
      </c>
    </row>
    <row r="30" spans="1:20" ht="15.75" customHeight="1">
      <c r="A30" s="32"/>
      <c r="B30" s="72" t="str">
        <f>IF(ISBLANK(A30),"",VLOOKUP(A30,Management!$A$11:$C$25,2,0))</f>
        <v/>
      </c>
      <c r="C30" s="60"/>
      <c r="D30" s="79"/>
      <c r="E30" s="60"/>
      <c r="F30" s="274"/>
      <c r="G30" s="141" t="str">
        <f t="shared" si="0"/>
        <v/>
      </c>
      <c r="H30" s="136"/>
      <c r="I30" s="274"/>
      <c r="J30" s="141" t="str">
        <f t="shared" si="1"/>
        <v/>
      </c>
      <c r="K30" s="102"/>
      <c r="L30" s="458"/>
      <c r="M30" s="459"/>
      <c r="N30" s="316" t="str">
        <f t="shared" si="2"/>
        <v/>
      </c>
      <c r="O30" s="234" t="str">
        <f>IF(OR(ISBLANK($D30),ISBLANK($K30)),"",IF(LEFT($D30,18)="Long-term teaching",VLOOKUP($K30,Subsistence,2,0)*14+VLOOKUP($K30,Subsistence,3,0)*46+IF($F30&gt;60,VLOOKUP($K30,Subsistence,4,0)*($F30-60),0),IF(LEFT($D30,18)="Short-term joint s",IF($F30&lt;15,Ceilings!$S$3*$F30,Ceilings!$S$3*14+Ceilings!$S$4*($F30-14)),IF($F30&lt;15,Ceilings!$S$6*$F30,Ceilings!$S$6*14+Ceilings!$S$7*($F30-14)))))</f>
        <v/>
      </c>
      <c r="P30" s="235" t="str">
        <f>IF(OR(ISBLANK(D30),ISBLANK(H30),ISBLANK(K30)),"",IF(I30&lt;15,Ceilings!$S$3*I30,Ceilings!$S$3*14+Ceilings!$S$4*(I30-14)))</f>
        <v/>
      </c>
      <c r="Q30" s="233" t="str">
        <f t="shared" si="3"/>
        <v/>
      </c>
      <c r="R30" s="136"/>
      <c r="S30" s="333" t="str">
        <f>IF(OR(ISBLANK($D30),ISBLANK($K30),ISBLANK(R30)),"",Ceilings!$V$3*R30)</f>
        <v/>
      </c>
      <c r="T30" s="93" t="str">
        <f t="shared" si="4"/>
        <v/>
      </c>
    </row>
    <row r="31" spans="1:20" ht="15.75" customHeight="1">
      <c r="A31" s="32"/>
      <c r="B31" s="72" t="str">
        <f>IF(ISBLANK(A31),"",VLOOKUP(A31,Management!$A$11:$C$25,2,0))</f>
        <v/>
      </c>
      <c r="C31" s="60"/>
      <c r="D31" s="79"/>
      <c r="E31" s="60"/>
      <c r="F31" s="274"/>
      <c r="G31" s="141" t="str">
        <f t="shared" si="0"/>
        <v/>
      </c>
      <c r="H31" s="136"/>
      <c r="I31" s="274"/>
      <c r="J31" s="141" t="str">
        <f t="shared" si="1"/>
        <v/>
      </c>
      <c r="K31" s="102"/>
      <c r="L31" s="458"/>
      <c r="M31" s="459"/>
      <c r="N31" s="316" t="str">
        <f t="shared" si="2"/>
        <v/>
      </c>
      <c r="O31" s="234" t="str">
        <f>IF(OR(ISBLANK($D31),ISBLANK($K31)),"",IF(LEFT($D31,18)="Long-term teaching",VLOOKUP($K31,Subsistence,2,0)*14+VLOOKUP($K31,Subsistence,3,0)*46+IF($F31&gt;60,VLOOKUP($K31,Subsistence,4,0)*($F31-60),0),IF(LEFT($D31,18)="Short-term joint s",IF($F31&lt;15,Ceilings!$S$3*$F31,Ceilings!$S$3*14+Ceilings!$S$4*($F31-14)),IF($F31&lt;15,Ceilings!$S$6*$F31,Ceilings!$S$6*14+Ceilings!$S$7*($F31-14)))))</f>
        <v/>
      </c>
      <c r="P31" s="235" t="str">
        <f>IF(OR(ISBLANK(D31),ISBLANK(H31),ISBLANK(K31)),"",IF(I31&lt;15,Ceilings!$S$3*I31,Ceilings!$S$3*14+Ceilings!$S$4*(I31-14)))</f>
        <v/>
      </c>
      <c r="Q31" s="233" t="str">
        <f t="shared" si="3"/>
        <v/>
      </c>
      <c r="R31" s="136"/>
      <c r="S31" s="333" t="str">
        <f>IF(OR(ISBLANK($D31),ISBLANK($K31),ISBLANK(R31)),"",Ceilings!$V$3*R31)</f>
        <v/>
      </c>
      <c r="T31" s="93" t="str">
        <f t="shared" si="4"/>
        <v/>
      </c>
    </row>
    <row r="32" spans="1:20" ht="15.75" customHeight="1">
      <c r="A32" s="32"/>
      <c r="B32" s="72" t="str">
        <f>IF(ISBLANK(A32),"",VLOOKUP(A32,Management!$A$11:$C$25,2,0))</f>
        <v/>
      </c>
      <c r="C32" s="60"/>
      <c r="D32" s="79"/>
      <c r="E32" s="60"/>
      <c r="F32" s="274"/>
      <c r="G32" s="141" t="str">
        <f t="shared" si="0"/>
        <v/>
      </c>
      <c r="H32" s="136"/>
      <c r="I32" s="274"/>
      <c r="J32" s="141" t="str">
        <f t="shared" si="1"/>
        <v/>
      </c>
      <c r="K32" s="102"/>
      <c r="L32" s="458"/>
      <c r="M32" s="459"/>
      <c r="N32" s="316" t="str">
        <f t="shared" si="2"/>
        <v/>
      </c>
      <c r="O32" s="234" t="str">
        <f>IF(OR(ISBLANK($D32),ISBLANK($K32)),"",IF(LEFT($D32,18)="Long-term teaching",VLOOKUP($K32,Subsistence,2,0)*14+VLOOKUP($K32,Subsistence,3,0)*46+IF($F32&gt;60,VLOOKUP($K32,Subsistence,4,0)*($F32-60),0),IF(LEFT($D32,18)="Short-term joint s",IF($F32&lt;15,Ceilings!$S$3*$F32,Ceilings!$S$3*14+Ceilings!$S$4*($F32-14)),IF($F32&lt;15,Ceilings!$S$6*$F32,Ceilings!$S$6*14+Ceilings!$S$7*($F32-14)))))</f>
        <v/>
      </c>
      <c r="P32" s="235" t="str">
        <f>IF(OR(ISBLANK(D32),ISBLANK(H32),ISBLANK(K32)),"",IF(I32&lt;15,Ceilings!$S$3*I32,Ceilings!$S$3*14+Ceilings!$S$4*(I32-14)))</f>
        <v/>
      </c>
      <c r="Q32" s="233" t="str">
        <f t="shared" si="3"/>
        <v/>
      </c>
      <c r="R32" s="136"/>
      <c r="S32" s="333" t="str">
        <f>IF(OR(ISBLANK($D32),ISBLANK($K32),ISBLANK(R32)),"",Ceilings!$V$3*R32)</f>
        <v/>
      </c>
      <c r="T32" s="93" t="str">
        <f t="shared" si="4"/>
        <v/>
      </c>
    </row>
    <row r="33" spans="1:20" ht="15.75" customHeight="1">
      <c r="A33" s="32"/>
      <c r="B33" s="72" t="str">
        <f>IF(ISBLANK(A33),"",VLOOKUP(A33,Management!$A$11:$C$25,2,0))</f>
        <v/>
      </c>
      <c r="C33" s="60"/>
      <c r="D33" s="79"/>
      <c r="E33" s="60"/>
      <c r="F33" s="274"/>
      <c r="G33" s="141" t="str">
        <f t="shared" si="0"/>
        <v/>
      </c>
      <c r="H33" s="136"/>
      <c r="I33" s="274"/>
      <c r="J33" s="141" t="str">
        <f t="shared" si="1"/>
        <v/>
      </c>
      <c r="K33" s="102"/>
      <c r="L33" s="458"/>
      <c r="M33" s="459"/>
      <c r="N33" s="316" t="str">
        <f t="shared" si="2"/>
        <v/>
      </c>
      <c r="O33" s="234" t="str">
        <f>IF(OR(ISBLANK($D33),ISBLANK($K33)),"",IF(LEFT($D33,18)="Long-term teaching",VLOOKUP($K33,Subsistence,2,0)*14+VLOOKUP($K33,Subsistence,3,0)*46+IF($F33&gt;60,VLOOKUP($K33,Subsistence,4,0)*($F33-60),0),IF(LEFT($D33,18)="Short-term joint s",IF($F33&lt;15,Ceilings!$S$3*$F33,Ceilings!$S$3*14+Ceilings!$S$4*($F33-14)),IF($F33&lt;15,Ceilings!$S$6*$F33,Ceilings!$S$6*14+Ceilings!$S$7*($F33-14)))))</f>
        <v/>
      </c>
      <c r="P33" s="235" t="str">
        <f>IF(OR(ISBLANK(D33),ISBLANK(H33),ISBLANK(K33)),"",IF(I33&lt;15,Ceilings!$S$3*I33,Ceilings!$S$3*14+Ceilings!$S$4*(I33-14)))</f>
        <v/>
      </c>
      <c r="Q33" s="233" t="str">
        <f t="shared" si="3"/>
        <v/>
      </c>
      <c r="R33" s="136"/>
      <c r="S33" s="333" t="str">
        <f>IF(OR(ISBLANK($D33),ISBLANK($K33),ISBLANK(R33)),"",Ceilings!$V$3*R33)</f>
        <v/>
      </c>
      <c r="T33" s="93" t="str">
        <f t="shared" si="4"/>
        <v/>
      </c>
    </row>
    <row r="34" spans="1:20" ht="15.75" customHeight="1">
      <c r="A34" s="32"/>
      <c r="B34" s="72" t="str">
        <f>IF(ISBLANK(A34),"",VLOOKUP(A34,Management!$A$11:$C$25,2,0))</f>
        <v/>
      </c>
      <c r="C34" s="60"/>
      <c r="D34" s="79"/>
      <c r="E34" s="60"/>
      <c r="F34" s="274"/>
      <c r="G34" s="141" t="str">
        <f t="shared" si="0"/>
        <v/>
      </c>
      <c r="H34" s="136"/>
      <c r="I34" s="274"/>
      <c r="J34" s="141" t="str">
        <f t="shared" si="1"/>
        <v/>
      </c>
      <c r="K34" s="102"/>
      <c r="L34" s="458"/>
      <c r="M34" s="459"/>
      <c r="N34" s="316" t="str">
        <f t="shared" si="2"/>
        <v/>
      </c>
      <c r="O34" s="234" t="str">
        <f>IF(OR(ISBLANK($D34),ISBLANK($K34)),"",IF(LEFT($D34,18)="Long-term teaching",VLOOKUP($K34,Subsistence,2,0)*14+VLOOKUP($K34,Subsistence,3,0)*46+IF($F34&gt;60,VLOOKUP($K34,Subsistence,4,0)*($F34-60),0),IF(LEFT($D34,18)="Short-term joint s",IF($F34&lt;15,Ceilings!$S$3*$F34,Ceilings!$S$3*14+Ceilings!$S$4*($F34-14)),IF($F34&lt;15,Ceilings!$S$6*$F34,Ceilings!$S$6*14+Ceilings!$S$7*($F34-14)))))</f>
        <v/>
      </c>
      <c r="P34" s="235" t="str">
        <f>IF(OR(ISBLANK(D34),ISBLANK(H34),ISBLANK(K34)),"",IF(I34&lt;15,Ceilings!$S$3*I34,Ceilings!$S$3*14+Ceilings!$S$4*(I34-14)))</f>
        <v/>
      </c>
      <c r="Q34" s="233" t="str">
        <f t="shared" si="3"/>
        <v/>
      </c>
      <c r="R34" s="136"/>
      <c r="S34" s="333" t="str">
        <f>IF(OR(ISBLANK($D34),ISBLANK($K34),ISBLANK(R34)),"",Ceilings!$V$3*R34)</f>
        <v/>
      </c>
      <c r="T34" s="93" t="str">
        <f t="shared" si="4"/>
        <v/>
      </c>
    </row>
    <row r="35" spans="1:20" ht="15.75" customHeight="1">
      <c r="A35" s="32"/>
      <c r="B35" s="72" t="str">
        <f>IF(ISBLANK(A35),"",VLOOKUP(A35,Management!$A$11:$C$25,2,0))</f>
        <v/>
      </c>
      <c r="C35" s="60"/>
      <c r="D35" s="79"/>
      <c r="E35" s="60"/>
      <c r="F35" s="274"/>
      <c r="G35" s="141" t="str">
        <f t="shared" si="0"/>
        <v/>
      </c>
      <c r="H35" s="136"/>
      <c r="I35" s="274"/>
      <c r="J35" s="141" t="str">
        <f t="shared" si="1"/>
        <v/>
      </c>
      <c r="K35" s="102"/>
      <c r="L35" s="458"/>
      <c r="M35" s="459"/>
      <c r="N35" s="316" t="str">
        <f t="shared" si="2"/>
        <v/>
      </c>
      <c r="O35" s="234" t="str">
        <f>IF(OR(ISBLANK($D35),ISBLANK($K35)),"",IF(LEFT($D35,18)="Long-term teaching",VLOOKUP($K35,Subsistence,2,0)*14+VLOOKUP($K35,Subsistence,3,0)*46+IF($F35&gt;60,VLOOKUP($K35,Subsistence,4,0)*($F35-60),0),IF(LEFT($D35,18)="Short-term joint s",IF($F35&lt;15,Ceilings!$S$3*$F35,Ceilings!$S$3*14+Ceilings!$S$4*($F35-14)),IF($F35&lt;15,Ceilings!$S$6*$F35,Ceilings!$S$6*14+Ceilings!$S$7*($F35-14)))))</f>
        <v/>
      </c>
      <c r="P35" s="235" t="str">
        <f>IF(OR(ISBLANK(D35),ISBLANK(H35),ISBLANK(K35)),"",IF(I35&lt;15,Ceilings!$S$3*I35,Ceilings!$S$3*14+Ceilings!$S$4*(I35-14)))</f>
        <v/>
      </c>
      <c r="Q35" s="233" t="str">
        <f t="shared" si="3"/>
        <v/>
      </c>
      <c r="R35" s="136"/>
      <c r="S35" s="333" t="str">
        <f>IF(OR(ISBLANK($D35),ISBLANK($K35),ISBLANK(R35)),"",Ceilings!$V$3*R35)</f>
        <v/>
      </c>
      <c r="T35" s="93" t="str">
        <f t="shared" si="4"/>
        <v/>
      </c>
    </row>
    <row r="36" spans="1:20" ht="15.75" customHeight="1">
      <c r="A36" s="32"/>
      <c r="B36" s="72" t="str">
        <f>IF(ISBLANK(A36),"",VLOOKUP(A36,Management!$A$11:$C$25,2,0))</f>
        <v/>
      </c>
      <c r="C36" s="60"/>
      <c r="D36" s="79"/>
      <c r="E36" s="60"/>
      <c r="F36" s="274"/>
      <c r="G36" s="141" t="str">
        <f t="shared" si="0"/>
        <v/>
      </c>
      <c r="H36" s="136"/>
      <c r="I36" s="274"/>
      <c r="J36" s="141" t="str">
        <f t="shared" si="1"/>
        <v/>
      </c>
      <c r="K36" s="102"/>
      <c r="L36" s="458"/>
      <c r="M36" s="459"/>
      <c r="N36" s="316" t="str">
        <f t="shared" si="2"/>
        <v/>
      </c>
      <c r="O36" s="234" t="str">
        <f>IF(OR(ISBLANK($D36),ISBLANK($K36)),"",IF(LEFT($D36,18)="Long-term teaching",VLOOKUP($K36,Subsistence,2,0)*14+VLOOKUP($K36,Subsistence,3,0)*46+IF($F36&gt;60,VLOOKUP($K36,Subsistence,4,0)*($F36-60),0),IF(LEFT($D36,18)="Short-term joint s",IF($F36&lt;15,Ceilings!$S$3*$F36,Ceilings!$S$3*14+Ceilings!$S$4*($F36-14)),IF($F36&lt;15,Ceilings!$S$6*$F36,Ceilings!$S$6*14+Ceilings!$S$7*($F36-14)))))</f>
        <v/>
      </c>
      <c r="P36" s="235" t="str">
        <f>IF(OR(ISBLANK(D36),ISBLANK(H36),ISBLANK(K36)),"",IF(I36&lt;15,Ceilings!$S$3*I36,Ceilings!$S$3*14+Ceilings!$S$4*(I36-14)))</f>
        <v/>
      </c>
      <c r="Q36" s="233" t="str">
        <f t="shared" si="3"/>
        <v/>
      </c>
      <c r="R36" s="136"/>
      <c r="S36" s="333" t="str">
        <f>IF(OR(ISBLANK($D36),ISBLANK($K36),ISBLANK(R36)),"",Ceilings!$V$3*R36)</f>
        <v/>
      </c>
      <c r="T36" s="93" t="str">
        <f t="shared" si="4"/>
        <v/>
      </c>
    </row>
    <row r="37" spans="1:20" ht="15.75" customHeight="1" thickBot="1">
      <c r="A37" s="35"/>
      <c r="B37" s="73" t="str">
        <f>IF(ISBLANK(A37),"",VLOOKUP(A37,Management!$A$11:$C$25,2,0))</f>
        <v/>
      </c>
      <c r="C37" s="62"/>
      <c r="D37" s="80"/>
      <c r="E37" s="62"/>
      <c r="F37" s="275"/>
      <c r="G37" s="142" t="str">
        <f t="shared" si="0"/>
        <v/>
      </c>
      <c r="H37" s="137"/>
      <c r="I37" s="275"/>
      <c r="J37" s="142" t="str">
        <f t="shared" si="1"/>
        <v/>
      </c>
      <c r="K37" s="103"/>
      <c r="L37" s="460"/>
      <c r="M37" s="461"/>
      <c r="N37" s="323" t="str">
        <f t="shared" si="2"/>
        <v/>
      </c>
      <c r="O37" s="237" t="str">
        <f>IF(OR(ISBLANK($D37),ISBLANK($K37)),"",IF(LEFT($D37,18)="Long-term teaching",VLOOKUP($K37,Subsistence,2,0)*14+VLOOKUP($K37,Subsistence,3,0)*46+IF($F37&gt;60,VLOOKUP($K37,Subsistence,4,0)*($F37-60),0),IF(LEFT($D37,18)="Short-term joint s",IF($F37&lt;15,Ceilings!$S$3*$F37,Ceilings!$S$3*14+Ceilings!$S$4*($F37-14)),IF($F37&lt;15,Ceilings!$S$6*$F37,Ceilings!$S$6*14+Ceilings!$S$7*($F37-14)))))</f>
        <v/>
      </c>
      <c r="P37" s="238" t="str">
        <f>IF(OR(ISBLANK(D37),ISBLANK(H37),ISBLANK(K37)),"",IF(I37&lt;15,Ceilings!$S$3*I37,Ceilings!$S$3*14+Ceilings!$S$4*(I37-14)))</f>
        <v/>
      </c>
      <c r="Q37" s="236" t="str">
        <f t="shared" si="3"/>
        <v/>
      </c>
      <c r="R37" s="137"/>
      <c r="S37" s="334" t="str">
        <f>IF(OR(ISBLANK($D37),ISBLANK($K37),ISBLANK(R37)),"",Ceilings!$V$3*R37)</f>
        <v/>
      </c>
      <c r="T37" s="97" t="str">
        <f t="shared" si="4"/>
        <v/>
      </c>
    </row>
    <row r="38" spans="1:20">
      <c r="E38" s="56">
        <f>SUM(E7:E37)</f>
        <v>0</v>
      </c>
      <c r="H38" s="56">
        <f t="shared" ref="H38" si="5">SUM(H7:H37)</f>
        <v>0</v>
      </c>
      <c r="R38" s="56"/>
    </row>
  </sheetData>
  <sheetProtection password="CBC2" sheet="1" objects="1" scenarios="1" sort="0" autoFilter="0"/>
  <mergeCells count="19">
    <mergeCell ref="E1:H2"/>
    <mergeCell ref="J1:S1"/>
    <mergeCell ref="B2:C2"/>
    <mergeCell ref="J2:S2"/>
    <mergeCell ref="T4:T5"/>
    <mergeCell ref="F4:G5"/>
    <mergeCell ref="H4:H5"/>
    <mergeCell ref="I4:J5"/>
    <mergeCell ref="M4:M5"/>
    <mergeCell ref="K4:K5"/>
    <mergeCell ref="L4:L5"/>
    <mergeCell ref="N4:N5"/>
    <mergeCell ref="O4:Q4"/>
    <mergeCell ref="R4:S4"/>
    <mergeCell ref="A4:A5"/>
    <mergeCell ref="B4:B5"/>
    <mergeCell ref="C4:C5"/>
    <mergeCell ref="D4:D5"/>
    <mergeCell ref="E4:E5"/>
  </mergeCells>
  <phoneticPr fontId="7" type="noConversion"/>
  <conditionalFormatting sqref="R7:R37">
    <cfRule type="expression" dxfId="12" priority="8" stopIfTrue="1">
      <formula>LEFT($D7,4)="Long"</formula>
    </cfRule>
  </conditionalFormatting>
  <conditionalFormatting sqref="H7:H37">
    <cfRule type="expression" dxfId="11" priority="4" stopIfTrue="1">
      <formula>LEFT($D7,18)="Short-term blended"</formula>
    </cfRule>
  </conditionalFormatting>
  <conditionalFormatting sqref="K7:K37">
    <cfRule type="expression" priority="1" stopIfTrue="1">
      <formula>ISBLANK(K7)</formula>
    </cfRule>
    <cfRule type="expression" priority="2" stopIfTrue="1">
      <formula>LEFT($D7,16)="Short term joint"</formula>
    </cfRule>
    <cfRule type="cellIs" dxfId="10" priority="3" stopIfTrue="1" operator="equal">
      <formula>$B7</formula>
    </cfRule>
  </conditionalFormatting>
  <dataValidations disablePrompts="1" count="11">
    <dataValidation type="custom" showInputMessage="1" showErrorMessage="1" sqref="R7:R37">
      <formula1>LEFT($D7,4)="Long"</formula1>
    </dataValidation>
    <dataValidation type="custom" allowBlank="1" showInputMessage="1" showErrorMessage="1" error="It is not possible greater than for participants." sqref="I7:I37">
      <formula1>I7&lt;=F7</formula1>
    </dataValidation>
    <dataValidation type="list" allowBlank="1" showInputMessage="1" showErrorMessage="1" sqref="K7:K37">
      <formula1>CountriesofPs</formula1>
    </dataValidation>
    <dataValidation type="list" allowBlank="1" showInputMessage="1" showErrorMessage="1" sqref="A7:A37">
      <formula1>Partners</formula1>
    </dataValidation>
    <dataValidation type="list" allowBlank="1" showInputMessage="1" showErrorMessage="1" sqref="D7:D37">
      <formula1>IF(ISNA(MATCH(B7,PCountries,0)),Activity_t,A_Activity_t)</formula1>
    </dataValidation>
    <dataValidation type="list" allowBlank="1" showInputMessage="1" showErrorMessage="1" sqref="L7:L37">
      <formula1>Distances</formula1>
    </dataValidation>
    <dataValidation allowBlank="1" error="Long-term teaching or training assignments &lt; 367 days, otherwise between 5 and 60 days." sqref="G7:G37 J7:J37"/>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type="custom" showInputMessage="1" showErrorMessage="1" sqref="H7:H37">
      <formula1>LEFT($D7,18)="Short-term blended"</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7" right="0.7" top="0.75" bottom="0.75" header="0.3" footer="0.3"/>
  <pageSetup paperSize="9" scale="59" orientation="landscape" r:id="rId1"/>
  <headerFooter scaleWithDoc="0">
    <oddHeader>&amp;C&amp;11 2017. E+ KA202&amp;RVersion: 2017.02.16. - TKA</oddHeader>
    <oddFooter>&amp;C&amp;"Arial,Félkövér"&amp;A</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zoomScale="85" zoomScaleNormal="85" zoomScalePageLayoutView="85" workbookViewId="0">
      <selection activeCell="U4" sqref="U4"/>
    </sheetView>
  </sheetViews>
  <sheetFormatPr defaultColWidth="8.85546875" defaultRowHeight="12.75"/>
  <cols>
    <col min="1" max="1" width="18.85546875" style="74" customWidth="1"/>
    <col min="2" max="2" width="12.7109375" style="75" bestFit="1" customWidth="1"/>
    <col min="3" max="3" width="6.85546875" style="56" bestFit="1" customWidth="1"/>
    <col min="4" max="4" width="39.42578125" style="76" customWidth="1"/>
    <col min="5" max="5" width="10.42578125" style="56" bestFit="1" customWidth="1"/>
    <col min="6" max="6" width="5.28515625" style="56" customWidth="1"/>
    <col min="7" max="7" width="5" style="56" bestFit="1" customWidth="1"/>
    <col min="8" max="8" width="10.42578125" style="56" customWidth="1"/>
    <col min="9" max="9" width="5.28515625" style="56" customWidth="1"/>
    <col min="10" max="10" width="5" style="56" bestFit="1" customWidth="1"/>
    <col min="11" max="11" width="8.42578125" style="70" customWidth="1"/>
    <col min="12" max="12" width="17.28515625" style="77" bestFit="1" customWidth="1"/>
    <col min="13" max="13" width="5.28515625" style="56" customWidth="1"/>
    <col min="14" max="14" width="10" style="57" bestFit="1" customWidth="1"/>
    <col min="15" max="16" width="10.7109375" style="57" customWidth="1"/>
    <col min="17" max="17" width="10.42578125" style="57" bestFit="1" customWidth="1"/>
    <col min="18" max="18" width="10.140625" style="57" bestFit="1" customWidth="1"/>
    <col min="19" max="19" width="9.140625" style="57" bestFit="1" customWidth="1"/>
    <col min="20" max="20" width="11.42578125" style="57" bestFit="1" customWidth="1"/>
    <col min="21" max="16384" width="8.85546875" style="70"/>
  </cols>
  <sheetData>
    <row r="1" spans="1:259" s="465" customFormat="1" ht="15.75">
      <c r="A1" s="188" t="s">
        <v>413</v>
      </c>
      <c r="B1" s="189"/>
      <c r="C1" s="463"/>
      <c r="D1" s="464"/>
      <c r="E1" s="572" t="s">
        <v>447</v>
      </c>
      <c r="F1" s="573"/>
      <c r="G1" s="573"/>
      <c r="H1" s="574"/>
      <c r="J1" s="578" t="s">
        <v>423</v>
      </c>
      <c r="K1" s="579"/>
      <c r="L1" s="579"/>
      <c r="M1" s="579"/>
      <c r="N1" s="579"/>
      <c r="O1" s="579"/>
      <c r="P1" s="579"/>
      <c r="Q1" s="579"/>
      <c r="R1" s="579"/>
      <c r="S1" s="58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68" t="s">
        <v>493</v>
      </c>
      <c r="C2" s="568"/>
      <c r="E2" s="575"/>
      <c r="F2" s="576"/>
      <c r="G2" s="576"/>
      <c r="H2" s="577"/>
      <c r="J2" s="581" t="s">
        <v>489</v>
      </c>
      <c r="K2" s="582"/>
      <c r="L2" s="582"/>
      <c r="M2" s="582"/>
      <c r="N2" s="582"/>
      <c r="O2" s="582"/>
      <c r="P2" s="582"/>
      <c r="Q2" s="582"/>
      <c r="R2" s="582"/>
      <c r="S2" s="583"/>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18" t="s">
        <v>483</v>
      </c>
      <c r="B4" s="520" t="s">
        <v>32</v>
      </c>
      <c r="C4" s="524" t="s">
        <v>324</v>
      </c>
      <c r="D4" s="555" t="s">
        <v>144</v>
      </c>
      <c r="E4" s="524" t="s">
        <v>404</v>
      </c>
      <c r="F4" s="561" t="s">
        <v>427</v>
      </c>
      <c r="G4" s="562"/>
      <c r="H4" s="524" t="s">
        <v>403</v>
      </c>
      <c r="I4" s="557" t="s">
        <v>428</v>
      </c>
      <c r="J4" s="558"/>
      <c r="K4" s="547" t="s">
        <v>486</v>
      </c>
      <c r="L4" s="545" t="s">
        <v>120</v>
      </c>
      <c r="M4" s="549" t="s">
        <v>487</v>
      </c>
      <c r="N4" s="543" t="s">
        <v>146</v>
      </c>
      <c r="O4" s="553" t="s">
        <v>330</v>
      </c>
      <c r="P4" s="554"/>
      <c r="Q4" s="543"/>
      <c r="R4" s="551" t="s">
        <v>328</v>
      </c>
      <c r="S4" s="552"/>
      <c r="T4" s="526"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19"/>
      <c r="B5" s="521"/>
      <c r="C5" s="525"/>
      <c r="D5" s="556"/>
      <c r="E5" s="525"/>
      <c r="F5" s="563"/>
      <c r="G5" s="564"/>
      <c r="H5" s="525"/>
      <c r="I5" s="559"/>
      <c r="J5" s="560"/>
      <c r="K5" s="548"/>
      <c r="L5" s="546"/>
      <c r="M5" s="550"/>
      <c r="N5" s="544"/>
      <c r="O5" s="197" t="s">
        <v>331</v>
      </c>
      <c r="P5" s="198" t="s">
        <v>405</v>
      </c>
      <c r="Q5" s="199" t="s">
        <v>329</v>
      </c>
      <c r="R5" s="276" t="s">
        <v>145</v>
      </c>
      <c r="S5" s="199" t="s">
        <v>329</v>
      </c>
      <c r="T5" s="527"/>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IF(OR(ISBLANK($D7),ISBLANK($K7)),"",IF(LEFT($D7,15)="Long-term teach",VLOOKUP($K7,Subsistence,2,0)*14+VLOOKUP($K7,Subsistence,3,0)*46+IF($F7&gt;60,VLOOKUP($K7,Subsistence,4,0)*($F7-60),0),IF(LEFT($D7,15)="Short-term join",IF($F7&lt;15,Ceilings!$S$3*$F7,Ceilings!$S$3*14+Ceilings!$S$4*($F7-14)),IF(LEFT($D7,15)="Long-term study",VLOOKUP($K7,Subsistence,5,0)*ROUND($F7/30,0),IF($F7&lt;15,Ceilings!$S$6*$F7,Ceilings!$S$6*14+Ceilings!$S$7*($F7-14))))))</f>
        <v/>
      </c>
      <c r="P7" s="232" t="str">
        <f>IF(OR(ISBLANK(D7),ISBLANK(H7),ISBLANK(K7)),"",IF(I7&lt;15,Ceilings!$S$3*I7,Ceilings!$S$3*14+Ceilings!$S$4*(I7-14)))</f>
        <v/>
      </c>
      <c r="Q7" s="230" t="str">
        <f>IF(O7="","",$E7*O7+IF(P7="",0,$H7*P7))</f>
        <v/>
      </c>
      <c r="R7" s="135"/>
      <c r="S7" s="332" t="str">
        <f>IF(OR(ISBLANK($D7),ISBLANK($K7),ISBLANK(R7)),"",Ceilings!$V$3*R7)</f>
        <v/>
      </c>
      <c r="T7" s="221" t="str">
        <f t="shared" ref="T7:T37" si="0">IF(ISBLANK($A7),"",IF(OR(ISBLANK($C7),ISBLANK($D7),ISBLANK($E7),ISBLANK($K7)),"Missing data",SUM($N7,$Q7,$S7)))</f>
        <v/>
      </c>
    </row>
    <row r="8" spans="1:259" ht="15.75" customHeight="1">
      <c r="A8" s="32"/>
      <c r="B8" s="72" t="str">
        <f>IF(ISBLANK(A8),"",VLOOKUP(A8,Management!$A$11:$C$25,2,0))</f>
        <v/>
      </c>
      <c r="C8" s="60"/>
      <c r="D8" s="79"/>
      <c r="E8" s="60"/>
      <c r="F8" s="274"/>
      <c r="G8" s="141" t="str">
        <f t="shared" ref="G8:G37" si="1">IF(ISBLANK($D8),"","days")</f>
        <v/>
      </c>
      <c r="H8" s="136"/>
      <c r="I8" s="274"/>
      <c r="J8" s="141" t="str">
        <f t="shared" ref="J8:J37" si="2">IF(ISBLANK($D8),"","days")</f>
        <v/>
      </c>
      <c r="K8" s="102"/>
      <c r="L8" s="458"/>
      <c r="M8" s="459"/>
      <c r="N8" s="316" t="str">
        <f t="shared" ref="N8:N37" si="3">IF(ISBLANK(L8),"",SUM(E8,H8)*VLOOKUP(L8,TravelGrant,2,0))</f>
        <v/>
      </c>
      <c r="O8" s="234" t="str">
        <f>IF(OR(ISBLANK($D8),ISBLANK($K8)),"",IF(LEFT($D8,15)="Long-term teach",VLOOKUP($K8,Subsistence,2,0)*14+VLOOKUP($K8,Subsistence,3,0)*46+IF($F8&gt;60,VLOOKUP($K8,Subsistence,4,0)*($F8-60),0),IF(LEFT($D8,15)="Short-term join",IF($F8&lt;15,Ceilings!$S$3*$F8,Ceilings!$S$3*14+Ceilings!$S$4*($F8-14)),IF(LEFT($D8,15)="Long-term study",VLOOKUP($K8,Subsistence,5,0)*ROUND($F8/30,0),IF($F8&lt;15,Ceilings!$S$6*$F8,Ceilings!$S$6*14+Ceilings!$S$7*($F8-14))))))</f>
        <v/>
      </c>
      <c r="P8" s="235" t="str">
        <f>IF(OR(ISBLANK(D8),ISBLANK(H8),ISBLANK(K8)),"",IF(I8&lt;15,Ceilings!$S$3*I8,Ceilings!$S$3*14+Ceilings!$S$4*(I8-14)))</f>
        <v/>
      </c>
      <c r="Q8" s="233" t="str">
        <f t="shared" ref="Q8:Q37" si="4">IF(O8="","",$E8*O8+IF(P8="",0,$H8*P8))</f>
        <v/>
      </c>
      <c r="R8" s="136"/>
      <c r="S8" s="333" t="str">
        <f>IF(OR(ISBLANK($D8),ISBLANK($K8),ISBLANK(R8)),"",Ceilings!$V$3*R8)</f>
        <v/>
      </c>
      <c r="T8" s="93" t="str">
        <f t="shared" si="0"/>
        <v/>
      </c>
    </row>
    <row r="9" spans="1:259" ht="15.75" customHeight="1">
      <c r="A9" s="32"/>
      <c r="B9" s="72" t="str">
        <f>IF(ISBLANK(A9),"",VLOOKUP(A9,Management!$A$11:$C$25,2,0))</f>
        <v/>
      </c>
      <c r="C9" s="60"/>
      <c r="D9" s="79"/>
      <c r="E9" s="60"/>
      <c r="F9" s="274"/>
      <c r="G9" s="141" t="str">
        <f t="shared" si="1"/>
        <v/>
      </c>
      <c r="H9" s="136"/>
      <c r="I9" s="274"/>
      <c r="J9" s="141" t="str">
        <f t="shared" si="2"/>
        <v/>
      </c>
      <c r="K9" s="102"/>
      <c r="L9" s="458"/>
      <c r="M9" s="459"/>
      <c r="N9" s="316" t="str">
        <f t="shared" si="3"/>
        <v/>
      </c>
      <c r="O9" s="234" t="str">
        <f>IF(OR(ISBLANK($D9),ISBLANK($K9)),"",IF(LEFT($D9,15)="Long-term teach",VLOOKUP($K9,Subsistence,2,0)*14+VLOOKUP($K9,Subsistence,3,0)*46+IF($F9&gt;60,VLOOKUP($K9,Subsistence,4,0)*($F9-60),0),IF(LEFT($D9,15)="Short-term join",IF($F9&lt;15,Ceilings!$S$3*$F9,Ceilings!$S$3*14+Ceilings!$S$4*($F9-14)),IF(LEFT($D9,15)="Long-term study",VLOOKUP($K9,Subsistence,5,0)*ROUND($F9/30,0),IF($F9&lt;15,Ceilings!$S$6*$F9,Ceilings!$S$6*14+Ceilings!$S$7*($F9-14))))))</f>
        <v/>
      </c>
      <c r="P9" s="235" t="str">
        <f>IF(OR(ISBLANK(D9),ISBLANK(H9),ISBLANK(K9)),"",IF(I9&lt;15,Ceilings!$S$3*I9,Ceilings!$S$3*14+Ceilings!$S$4*(I9-14)))</f>
        <v/>
      </c>
      <c r="Q9" s="233" t="str">
        <f t="shared" si="4"/>
        <v/>
      </c>
      <c r="R9" s="136"/>
      <c r="S9" s="333" t="str">
        <f>IF(OR(ISBLANK($D9),ISBLANK($K9),ISBLANK(R9)),"",Ceilings!$V$3*R9)</f>
        <v/>
      </c>
      <c r="T9" s="93" t="str">
        <f t="shared" si="0"/>
        <v/>
      </c>
    </row>
    <row r="10" spans="1:259" ht="15.75" customHeight="1">
      <c r="A10" s="32"/>
      <c r="B10" s="72" t="str">
        <f>IF(ISBLANK(A10),"",VLOOKUP(A10,Management!$A$11:$C$25,2,0))</f>
        <v/>
      </c>
      <c r="C10" s="60"/>
      <c r="D10" s="79"/>
      <c r="E10" s="60"/>
      <c r="F10" s="274"/>
      <c r="G10" s="141" t="str">
        <f t="shared" si="1"/>
        <v/>
      </c>
      <c r="H10" s="136"/>
      <c r="I10" s="274"/>
      <c r="J10" s="141" t="str">
        <f t="shared" si="2"/>
        <v/>
      </c>
      <c r="K10" s="102"/>
      <c r="L10" s="458"/>
      <c r="M10" s="459"/>
      <c r="N10" s="316" t="str">
        <f t="shared" si="3"/>
        <v/>
      </c>
      <c r="O10" s="234" t="str">
        <f>IF(OR(ISBLANK($D10),ISBLANK($K10)),"",IF(LEFT($D10,15)="Long-term teach",VLOOKUP($K10,Subsistence,2,0)*14+VLOOKUP($K10,Subsistence,3,0)*46+IF($F10&gt;60,VLOOKUP($K10,Subsistence,4,0)*($F10-60),0),IF(LEFT($D10,15)="Short-term join",IF($F10&lt;15,Ceilings!$S$3*$F10,Ceilings!$S$3*14+Ceilings!$S$4*($F10-14)),IF(LEFT($D10,15)="Long-term study",VLOOKUP($K10,Subsistence,5,0)*ROUND($F10/30,0),IF($F10&lt;15,Ceilings!$S$6*$F10,Ceilings!$S$6*14+Ceilings!$S$7*($F10-14))))))</f>
        <v/>
      </c>
      <c r="P10" s="235" t="str">
        <f>IF(OR(ISBLANK(D10),ISBLANK(H10),ISBLANK(K10)),"",IF(I10&lt;15,Ceilings!$S$3*I10,Ceilings!$S$3*14+Ceilings!$S$4*(I10-14)))</f>
        <v/>
      </c>
      <c r="Q10" s="233" t="str">
        <f t="shared" si="4"/>
        <v/>
      </c>
      <c r="R10" s="136"/>
      <c r="S10" s="333" t="str">
        <f>IF(OR(ISBLANK($D10),ISBLANK($K10),ISBLANK(R10)),"",Ceilings!$V$3*R10)</f>
        <v/>
      </c>
      <c r="T10" s="93" t="str">
        <f t="shared" si="0"/>
        <v/>
      </c>
    </row>
    <row r="11" spans="1:259" ht="15.75" customHeight="1">
      <c r="A11" s="32"/>
      <c r="B11" s="72" t="str">
        <f>IF(ISBLANK(A11),"",VLOOKUP(A11,Management!$A$11:$C$25,2,0))</f>
        <v/>
      </c>
      <c r="C11" s="60"/>
      <c r="D11" s="79"/>
      <c r="E11" s="60"/>
      <c r="F11" s="274"/>
      <c r="G11" s="141" t="str">
        <f t="shared" si="1"/>
        <v/>
      </c>
      <c r="H11" s="136"/>
      <c r="I11" s="274"/>
      <c r="J11" s="141" t="str">
        <f t="shared" si="2"/>
        <v/>
      </c>
      <c r="K11" s="102"/>
      <c r="L11" s="458"/>
      <c r="M11" s="459"/>
      <c r="N11" s="316" t="str">
        <f t="shared" si="3"/>
        <v/>
      </c>
      <c r="O11" s="234" t="str">
        <f>IF(OR(ISBLANK($D11),ISBLANK($K11)),"",IF(LEFT($D11,15)="Long-term teach",VLOOKUP($K11,Subsistence,2,0)*14+VLOOKUP($K11,Subsistence,3,0)*46+IF($F11&gt;60,VLOOKUP($K11,Subsistence,4,0)*($F11-60),0),IF(LEFT($D11,15)="Short-term join",IF($F11&lt;15,Ceilings!$S$3*$F11,Ceilings!$S$3*14+Ceilings!$S$4*($F11-14)),IF(LEFT($D11,15)="Long-term study",VLOOKUP($K11,Subsistence,5,0)*ROUND($F11/30,0),IF($F11&lt;15,Ceilings!$S$6*$F11,Ceilings!$S$6*14+Ceilings!$S$7*($F11-14))))))</f>
        <v/>
      </c>
      <c r="P11" s="235" t="str">
        <f>IF(OR(ISBLANK(D11),ISBLANK(H11),ISBLANK(K11)),"",IF(I11&lt;15,Ceilings!$S$3*I11,Ceilings!$S$3*14+Ceilings!$S$4*(I11-14)))</f>
        <v/>
      </c>
      <c r="Q11" s="233" t="str">
        <f t="shared" si="4"/>
        <v/>
      </c>
      <c r="R11" s="136"/>
      <c r="S11" s="333" t="str">
        <f>IF(OR(ISBLANK($D11),ISBLANK($K11),ISBLANK(R11)),"",Ceilings!$V$3*R11)</f>
        <v/>
      </c>
      <c r="T11" s="93" t="str">
        <f t="shared" si="0"/>
        <v/>
      </c>
    </row>
    <row r="12" spans="1:259" ht="15.75" customHeight="1">
      <c r="A12" s="32"/>
      <c r="B12" s="72" t="str">
        <f>IF(ISBLANK(A12),"",VLOOKUP(A12,Management!$A$11:$C$25,2,0))</f>
        <v/>
      </c>
      <c r="C12" s="60"/>
      <c r="D12" s="79"/>
      <c r="E12" s="60"/>
      <c r="F12" s="274"/>
      <c r="G12" s="141" t="str">
        <f t="shared" si="1"/>
        <v/>
      </c>
      <c r="H12" s="136"/>
      <c r="I12" s="274"/>
      <c r="J12" s="141" t="str">
        <f t="shared" si="2"/>
        <v/>
      </c>
      <c r="K12" s="102"/>
      <c r="L12" s="458"/>
      <c r="M12" s="459"/>
      <c r="N12" s="316" t="str">
        <f t="shared" si="3"/>
        <v/>
      </c>
      <c r="O12" s="234" t="str">
        <f>IF(OR(ISBLANK($D12),ISBLANK($K12)),"",IF(LEFT($D12,15)="Long-term teach",VLOOKUP($K12,Subsistence,2,0)*14+VLOOKUP($K12,Subsistence,3,0)*46+IF($F12&gt;60,VLOOKUP($K12,Subsistence,4,0)*($F12-60),0),IF(LEFT($D12,15)="Short-term join",IF($F12&lt;15,Ceilings!$S$3*$F12,Ceilings!$S$3*14+Ceilings!$S$4*($F12-14)),IF(LEFT($D12,15)="Long-term study",VLOOKUP($K12,Subsistence,5,0)*ROUND($F12/30,0),IF($F12&lt;15,Ceilings!$S$6*$F12,Ceilings!$S$6*14+Ceilings!$S$7*($F12-14))))))</f>
        <v/>
      </c>
      <c r="P12" s="235" t="str">
        <f>IF(OR(ISBLANK(D12),ISBLANK(H12),ISBLANK(K12)),"",IF(I12&lt;15,Ceilings!$S$3*I12,Ceilings!$S$3*14+Ceilings!$S$4*(I12-14)))</f>
        <v/>
      </c>
      <c r="Q12" s="233" t="str">
        <f t="shared" si="4"/>
        <v/>
      </c>
      <c r="R12" s="136"/>
      <c r="S12" s="333" t="str">
        <f>IF(OR(ISBLANK($D12),ISBLANK($K12),ISBLANK(R12)),"",Ceilings!$V$3*R12)</f>
        <v/>
      </c>
      <c r="T12" s="93" t="str">
        <f t="shared" si="0"/>
        <v/>
      </c>
    </row>
    <row r="13" spans="1:259" ht="15.75" customHeight="1">
      <c r="A13" s="32"/>
      <c r="B13" s="72" t="str">
        <f>IF(ISBLANK(A13),"",VLOOKUP(A13,Management!$A$11:$C$25,2,0))</f>
        <v/>
      </c>
      <c r="C13" s="60"/>
      <c r="D13" s="79"/>
      <c r="E13" s="60"/>
      <c r="F13" s="274"/>
      <c r="G13" s="141" t="str">
        <f t="shared" si="1"/>
        <v/>
      </c>
      <c r="H13" s="136"/>
      <c r="I13" s="274"/>
      <c r="J13" s="141" t="str">
        <f t="shared" si="2"/>
        <v/>
      </c>
      <c r="K13" s="102"/>
      <c r="L13" s="458"/>
      <c r="M13" s="459"/>
      <c r="N13" s="316" t="str">
        <f t="shared" si="3"/>
        <v/>
      </c>
      <c r="O13" s="234" t="str">
        <f>IF(OR(ISBLANK($D13),ISBLANK($K13)),"",IF(LEFT($D13,15)="Long-term teach",VLOOKUP($K13,Subsistence,2,0)*14+VLOOKUP($K13,Subsistence,3,0)*46+IF($F13&gt;60,VLOOKUP($K13,Subsistence,4,0)*($F13-60),0),IF(LEFT($D13,15)="Short-term join",IF($F13&lt;15,Ceilings!$S$3*$F13,Ceilings!$S$3*14+Ceilings!$S$4*($F13-14)),IF(LEFT($D13,15)="Long-term study",VLOOKUP($K13,Subsistence,5,0)*ROUND($F13/30,0),IF($F13&lt;15,Ceilings!$S$6*$F13,Ceilings!$S$6*14+Ceilings!$S$7*($F13-14))))))</f>
        <v/>
      </c>
      <c r="P13" s="235" t="str">
        <f>IF(OR(ISBLANK(D13),ISBLANK(H13),ISBLANK(K13)),"",IF(I13&lt;15,Ceilings!$S$3*I13,Ceilings!$S$3*14+Ceilings!$S$4*(I13-14)))</f>
        <v/>
      </c>
      <c r="Q13" s="233" t="str">
        <f t="shared" si="4"/>
        <v/>
      </c>
      <c r="R13" s="136"/>
      <c r="S13" s="333" t="str">
        <f>IF(OR(ISBLANK($D13),ISBLANK($K13),ISBLANK(R13)),"",Ceilings!$V$3*R13)</f>
        <v/>
      </c>
      <c r="T13" s="93" t="str">
        <f t="shared" si="0"/>
        <v/>
      </c>
    </row>
    <row r="14" spans="1:259" ht="15.75" customHeight="1">
      <c r="A14" s="32"/>
      <c r="B14" s="72" t="str">
        <f>IF(ISBLANK(A14),"",VLOOKUP(A14,Management!$A$11:$C$25,2,0))</f>
        <v/>
      </c>
      <c r="C14" s="60"/>
      <c r="D14" s="79"/>
      <c r="E14" s="60"/>
      <c r="F14" s="274"/>
      <c r="G14" s="141" t="str">
        <f t="shared" si="1"/>
        <v/>
      </c>
      <c r="H14" s="136"/>
      <c r="I14" s="274"/>
      <c r="J14" s="141" t="str">
        <f t="shared" si="2"/>
        <v/>
      </c>
      <c r="K14" s="102"/>
      <c r="L14" s="458"/>
      <c r="M14" s="459"/>
      <c r="N14" s="316" t="str">
        <f t="shared" si="3"/>
        <v/>
      </c>
      <c r="O14" s="234" t="str">
        <f>IF(OR(ISBLANK($D14),ISBLANK($K14)),"",IF(LEFT($D14,15)="Long-term teach",VLOOKUP($K14,Subsistence,2,0)*14+VLOOKUP($K14,Subsistence,3,0)*46+IF($F14&gt;60,VLOOKUP($K14,Subsistence,4,0)*($F14-60),0),IF(LEFT($D14,15)="Short-term join",IF($F14&lt;15,Ceilings!$S$3*$F14,Ceilings!$S$3*14+Ceilings!$S$4*($F14-14)),IF(LEFT($D14,15)="Long-term study",VLOOKUP($K14,Subsistence,5,0)*ROUND($F14/30,0),IF($F14&lt;15,Ceilings!$S$6*$F14,Ceilings!$S$6*14+Ceilings!$S$7*($F14-14))))))</f>
        <v/>
      </c>
      <c r="P14" s="235" t="str">
        <f>IF(OR(ISBLANK(D14),ISBLANK(H14),ISBLANK(K14)),"",IF(I14&lt;15,Ceilings!$S$3*I14,Ceilings!$S$3*14+Ceilings!$S$4*(I14-14)))</f>
        <v/>
      </c>
      <c r="Q14" s="233" t="str">
        <f t="shared" si="4"/>
        <v/>
      </c>
      <c r="R14" s="136"/>
      <c r="S14" s="333" t="str">
        <f>IF(OR(ISBLANK($D14),ISBLANK($K14),ISBLANK(R14)),"",Ceilings!$V$3*R14)</f>
        <v/>
      </c>
      <c r="T14" s="93" t="str">
        <f t="shared" si="0"/>
        <v/>
      </c>
    </row>
    <row r="15" spans="1:259" ht="15.75" customHeight="1">
      <c r="A15" s="32"/>
      <c r="B15" s="72" t="str">
        <f>IF(ISBLANK(A15),"",VLOOKUP(A15,Management!$A$11:$C$25,2,0))</f>
        <v/>
      </c>
      <c r="C15" s="60"/>
      <c r="D15" s="79"/>
      <c r="E15" s="60"/>
      <c r="F15" s="274"/>
      <c r="G15" s="141" t="str">
        <f t="shared" si="1"/>
        <v/>
      </c>
      <c r="H15" s="136"/>
      <c r="I15" s="274"/>
      <c r="J15" s="141" t="str">
        <f t="shared" si="2"/>
        <v/>
      </c>
      <c r="K15" s="102"/>
      <c r="L15" s="458"/>
      <c r="M15" s="459"/>
      <c r="N15" s="316" t="str">
        <f t="shared" si="3"/>
        <v/>
      </c>
      <c r="O15" s="234" t="str">
        <f>IF(OR(ISBLANK($D15),ISBLANK($K15)),"",IF(LEFT($D15,15)="Long-term teach",VLOOKUP($K15,Subsistence,2,0)*14+VLOOKUP($K15,Subsistence,3,0)*46+IF($F15&gt;60,VLOOKUP($K15,Subsistence,4,0)*($F15-60),0),IF(LEFT($D15,15)="Short-term join",IF($F15&lt;15,Ceilings!$S$3*$F15,Ceilings!$S$3*14+Ceilings!$S$4*($F15-14)),IF(LEFT($D15,15)="Long-term study",VLOOKUP($K15,Subsistence,5,0)*ROUND($F15/30,0),IF($F15&lt;15,Ceilings!$S$6*$F15,Ceilings!$S$6*14+Ceilings!$S$7*($F15-14))))))</f>
        <v/>
      </c>
      <c r="P15" s="235" t="str">
        <f>IF(OR(ISBLANK(D15),ISBLANK(H15),ISBLANK(K15)),"",IF(I15&lt;15,Ceilings!$S$3*I15,Ceilings!$S$3*14+Ceilings!$S$4*(I15-14)))</f>
        <v/>
      </c>
      <c r="Q15" s="233" t="str">
        <f t="shared" si="4"/>
        <v/>
      </c>
      <c r="R15" s="136"/>
      <c r="S15" s="333" t="str">
        <f>IF(OR(ISBLANK($D15),ISBLANK($K15),ISBLANK(R15)),"",Ceilings!$V$3*R15)</f>
        <v/>
      </c>
      <c r="T15" s="93" t="str">
        <f t="shared" si="0"/>
        <v/>
      </c>
    </row>
    <row r="16" spans="1:259" ht="15.75" customHeight="1">
      <c r="A16" s="32"/>
      <c r="B16" s="72" t="str">
        <f>IF(ISBLANK(A16),"",VLOOKUP(A16,Management!$A$11:$C$25,2,0))</f>
        <v/>
      </c>
      <c r="C16" s="60"/>
      <c r="D16" s="79"/>
      <c r="E16" s="60"/>
      <c r="F16" s="274"/>
      <c r="G16" s="141" t="str">
        <f t="shared" si="1"/>
        <v/>
      </c>
      <c r="H16" s="136"/>
      <c r="I16" s="274"/>
      <c r="J16" s="141" t="str">
        <f t="shared" si="2"/>
        <v/>
      </c>
      <c r="K16" s="102"/>
      <c r="L16" s="458"/>
      <c r="M16" s="459"/>
      <c r="N16" s="316" t="str">
        <f t="shared" si="3"/>
        <v/>
      </c>
      <c r="O16" s="234" t="str">
        <f>IF(OR(ISBLANK($D16),ISBLANK($K16)),"",IF(LEFT($D16,15)="Long-term teach",VLOOKUP($K16,Subsistence,2,0)*14+VLOOKUP($K16,Subsistence,3,0)*46+IF($F16&gt;60,VLOOKUP($K16,Subsistence,4,0)*($F16-60),0),IF(LEFT($D16,15)="Short-term join",IF($F16&lt;15,Ceilings!$S$3*$F16,Ceilings!$S$3*14+Ceilings!$S$4*($F16-14)),IF(LEFT($D16,15)="Long-term study",VLOOKUP($K16,Subsistence,5,0)*ROUND($F16/30,0),IF($F16&lt;15,Ceilings!$S$6*$F16,Ceilings!$S$6*14+Ceilings!$S$7*($F16-14))))))</f>
        <v/>
      </c>
      <c r="P16" s="235" t="str">
        <f>IF(OR(ISBLANK(D16),ISBLANK(H16),ISBLANK(K16)),"",IF(I16&lt;15,Ceilings!$S$3*I16,Ceilings!$S$3*14+Ceilings!$S$4*(I16-14)))</f>
        <v/>
      </c>
      <c r="Q16" s="233" t="str">
        <f t="shared" si="4"/>
        <v/>
      </c>
      <c r="R16" s="136"/>
      <c r="S16" s="333" t="str">
        <f>IF(OR(ISBLANK($D16),ISBLANK($K16),ISBLANK(R16)),"",Ceilings!$V$3*R16)</f>
        <v/>
      </c>
      <c r="T16" s="93" t="str">
        <f t="shared" si="0"/>
        <v/>
      </c>
    </row>
    <row r="17" spans="1:20" ht="15.75" customHeight="1">
      <c r="A17" s="32"/>
      <c r="B17" s="72" t="str">
        <f>IF(ISBLANK(A17),"",VLOOKUP(A17,Management!$A$11:$C$25,2,0))</f>
        <v/>
      </c>
      <c r="C17" s="60"/>
      <c r="D17" s="79"/>
      <c r="E17" s="60"/>
      <c r="F17" s="274"/>
      <c r="G17" s="141" t="str">
        <f t="shared" si="1"/>
        <v/>
      </c>
      <c r="H17" s="136"/>
      <c r="I17" s="274"/>
      <c r="J17" s="141" t="str">
        <f t="shared" si="2"/>
        <v/>
      </c>
      <c r="K17" s="102"/>
      <c r="L17" s="458"/>
      <c r="M17" s="459"/>
      <c r="N17" s="316" t="str">
        <f t="shared" si="3"/>
        <v/>
      </c>
      <c r="O17" s="234" t="str">
        <f>IF(OR(ISBLANK($D17),ISBLANK($K17)),"",IF(LEFT($D17,15)="Long-term teach",VLOOKUP($K17,Subsistence,2,0)*14+VLOOKUP($K17,Subsistence,3,0)*46+IF($F17&gt;60,VLOOKUP($K17,Subsistence,4,0)*($F17-60),0),IF(LEFT($D17,15)="Short-term join",IF($F17&lt;15,Ceilings!$S$3*$F17,Ceilings!$S$3*14+Ceilings!$S$4*($F17-14)),IF(LEFT($D17,15)="Long-term study",VLOOKUP($K17,Subsistence,5,0)*ROUND($F17/30,0),IF($F17&lt;15,Ceilings!$S$6*$F17,Ceilings!$S$6*14+Ceilings!$S$7*($F17-14))))))</f>
        <v/>
      </c>
      <c r="P17" s="235" t="str">
        <f>IF(OR(ISBLANK(D17),ISBLANK(H17),ISBLANK(K17)),"",IF(I17&lt;15,Ceilings!$S$3*I17,Ceilings!$S$3*14+Ceilings!$S$4*(I17-14)))</f>
        <v/>
      </c>
      <c r="Q17" s="233" t="str">
        <f t="shared" si="4"/>
        <v/>
      </c>
      <c r="R17" s="136"/>
      <c r="S17" s="333" t="str">
        <f>IF(OR(ISBLANK($D17),ISBLANK($K17),ISBLANK(R17)),"",Ceilings!$V$3*R17)</f>
        <v/>
      </c>
      <c r="T17" s="93" t="str">
        <f t="shared" si="0"/>
        <v/>
      </c>
    </row>
    <row r="18" spans="1:20" ht="15.75" customHeight="1">
      <c r="A18" s="32"/>
      <c r="B18" s="72" t="str">
        <f>IF(ISBLANK(A18),"",VLOOKUP(A18,Management!$A$11:$C$25,2,0))</f>
        <v/>
      </c>
      <c r="C18" s="60"/>
      <c r="D18" s="79"/>
      <c r="E18" s="60"/>
      <c r="F18" s="274"/>
      <c r="G18" s="141" t="str">
        <f t="shared" si="1"/>
        <v/>
      </c>
      <c r="H18" s="136"/>
      <c r="I18" s="274"/>
      <c r="J18" s="141" t="str">
        <f t="shared" si="2"/>
        <v/>
      </c>
      <c r="K18" s="102"/>
      <c r="L18" s="458"/>
      <c r="M18" s="459"/>
      <c r="N18" s="316" t="str">
        <f t="shared" si="3"/>
        <v/>
      </c>
      <c r="O18" s="234" t="str">
        <f>IF(OR(ISBLANK($D18),ISBLANK($K18)),"",IF(LEFT($D18,15)="Long-term teach",VLOOKUP($K18,Subsistence,2,0)*14+VLOOKUP($K18,Subsistence,3,0)*46+IF($F18&gt;60,VLOOKUP($K18,Subsistence,4,0)*($F18-60),0),IF(LEFT($D18,15)="Short-term join",IF($F18&lt;15,Ceilings!$S$3*$F18,Ceilings!$S$3*14+Ceilings!$S$4*($F18-14)),IF(LEFT($D18,15)="Long-term study",VLOOKUP($K18,Subsistence,5,0)*ROUND($F18/30,0),IF($F18&lt;15,Ceilings!$S$6*$F18,Ceilings!$S$6*14+Ceilings!$S$7*($F18-14))))))</f>
        <v/>
      </c>
      <c r="P18" s="235" t="str">
        <f>IF(OR(ISBLANK(D18),ISBLANK(H18),ISBLANK(K18)),"",IF(I18&lt;15,Ceilings!$S$3*I18,Ceilings!$S$3*14+Ceilings!$S$4*(I18-14)))</f>
        <v/>
      </c>
      <c r="Q18" s="233" t="str">
        <f t="shared" si="4"/>
        <v/>
      </c>
      <c r="R18" s="136"/>
      <c r="S18" s="333" t="str">
        <f>IF(OR(ISBLANK($D18),ISBLANK($K18),ISBLANK(R18)),"",Ceilings!$V$3*R18)</f>
        <v/>
      </c>
      <c r="T18" s="93" t="str">
        <f t="shared" si="0"/>
        <v/>
      </c>
    </row>
    <row r="19" spans="1:20" ht="15.75" customHeight="1">
      <c r="A19" s="32"/>
      <c r="B19" s="72" t="str">
        <f>IF(ISBLANK(A19),"",VLOOKUP(A19,Management!$A$11:$C$25,2,0))</f>
        <v/>
      </c>
      <c r="C19" s="60"/>
      <c r="D19" s="79"/>
      <c r="E19" s="60"/>
      <c r="F19" s="274"/>
      <c r="G19" s="141" t="str">
        <f t="shared" si="1"/>
        <v/>
      </c>
      <c r="H19" s="136"/>
      <c r="I19" s="274"/>
      <c r="J19" s="141" t="str">
        <f t="shared" si="2"/>
        <v/>
      </c>
      <c r="K19" s="102"/>
      <c r="L19" s="458"/>
      <c r="M19" s="459"/>
      <c r="N19" s="316" t="str">
        <f t="shared" si="3"/>
        <v/>
      </c>
      <c r="O19" s="234" t="str">
        <f>IF(OR(ISBLANK($D19),ISBLANK($K19)),"",IF(LEFT($D19,15)="Long-term teach",VLOOKUP($K19,Subsistence,2,0)*14+VLOOKUP($K19,Subsistence,3,0)*46+IF($F19&gt;60,VLOOKUP($K19,Subsistence,4,0)*($F19-60),0),IF(LEFT($D19,15)="Short-term join",IF($F19&lt;15,Ceilings!$S$3*$F19,Ceilings!$S$3*14+Ceilings!$S$4*($F19-14)),IF(LEFT($D19,15)="Long-term study",VLOOKUP($K19,Subsistence,5,0)*ROUND($F19/30,0),IF($F19&lt;15,Ceilings!$S$6*$F19,Ceilings!$S$6*14+Ceilings!$S$7*($F19-14))))))</f>
        <v/>
      </c>
      <c r="P19" s="235" t="str">
        <f>IF(OR(ISBLANK(D19),ISBLANK(H19),ISBLANK(K19)),"",IF(I19&lt;15,Ceilings!$S$3*I19,Ceilings!$S$3*14+Ceilings!$S$4*(I19-14)))</f>
        <v/>
      </c>
      <c r="Q19" s="233" t="str">
        <f t="shared" si="4"/>
        <v/>
      </c>
      <c r="R19" s="136"/>
      <c r="S19" s="333" t="str">
        <f>IF(OR(ISBLANK($D19),ISBLANK($K19),ISBLANK(R19)),"",Ceilings!$V$3*R19)</f>
        <v/>
      </c>
      <c r="T19" s="93" t="str">
        <f t="shared" si="0"/>
        <v/>
      </c>
    </row>
    <row r="20" spans="1:20" ht="15.75" customHeight="1">
      <c r="A20" s="32"/>
      <c r="B20" s="72" t="str">
        <f>IF(ISBLANK(A20),"",VLOOKUP(A20,Management!$A$11:$C$25,2,0))</f>
        <v/>
      </c>
      <c r="C20" s="60"/>
      <c r="D20" s="79"/>
      <c r="E20" s="60"/>
      <c r="F20" s="274"/>
      <c r="G20" s="141" t="str">
        <f t="shared" si="1"/>
        <v/>
      </c>
      <c r="H20" s="136"/>
      <c r="I20" s="274"/>
      <c r="J20" s="141" t="str">
        <f t="shared" si="2"/>
        <v/>
      </c>
      <c r="K20" s="102"/>
      <c r="L20" s="458"/>
      <c r="M20" s="459"/>
      <c r="N20" s="316" t="str">
        <f t="shared" si="3"/>
        <v/>
      </c>
      <c r="O20" s="234" t="str">
        <f>IF(OR(ISBLANK($D20),ISBLANK($K20)),"",IF(LEFT($D20,15)="Long-term teach",VLOOKUP($K20,Subsistence,2,0)*14+VLOOKUP($K20,Subsistence,3,0)*46+IF($F20&gt;60,VLOOKUP($K20,Subsistence,4,0)*($F20-60),0),IF(LEFT($D20,15)="Short-term join",IF($F20&lt;15,Ceilings!$S$3*$F20,Ceilings!$S$3*14+Ceilings!$S$4*($F20-14)),IF(LEFT($D20,15)="Long-term study",VLOOKUP($K20,Subsistence,5,0)*ROUND($F20/30,0),IF($F20&lt;15,Ceilings!$S$6*$F20,Ceilings!$S$6*14+Ceilings!$S$7*($F20-14))))))</f>
        <v/>
      </c>
      <c r="P20" s="235" t="str">
        <f>IF(OR(ISBLANK(D20),ISBLANK(H20),ISBLANK(K20)),"",IF(I20&lt;15,Ceilings!$S$3*I20,Ceilings!$S$3*14+Ceilings!$S$4*(I20-14)))</f>
        <v/>
      </c>
      <c r="Q20" s="233" t="str">
        <f t="shared" si="4"/>
        <v/>
      </c>
      <c r="R20" s="136"/>
      <c r="S20" s="333" t="str">
        <f>IF(OR(ISBLANK($D20),ISBLANK($K20),ISBLANK(R20)),"",Ceilings!$V$3*R20)</f>
        <v/>
      </c>
      <c r="T20" s="93" t="str">
        <f t="shared" si="0"/>
        <v/>
      </c>
    </row>
    <row r="21" spans="1:20" ht="15.75" customHeight="1">
      <c r="A21" s="32"/>
      <c r="B21" s="72" t="str">
        <f>IF(ISBLANK(A21),"",VLOOKUP(A21,Management!$A$11:$C$25,2,0))</f>
        <v/>
      </c>
      <c r="C21" s="60"/>
      <c r="D21" s="79"/>
      <c r="E21" s="60"/>
      <c r="F21" s="274"/>
      <c r="G21" s="141" t="str">
        <f t="shared" si="1"/>
        <v/>
      </c>
      <c r="H21" s="136"/>
      <c r="I21" s="274"/>
      <c r="J21" s="141" t="str">
        <f t="shared" si="2"/>
        <v/>
      </c>
      <c r="K21" s="102"/>
      <c r="L21" s="458"/>
      <c r="M21" s="459"/>
      <c r="N21" s="316" t="str">
        <f t="shared" si="3"/>
        <v/>
      </c>
      <c r="O21" s="234" t="str">
        <f>IF(OR(ISBLANK($D21),ISBLANK($K21)),"",IF(LEFT($D21,15)="Long-term teach",VLOOKUP($K21,Subsistence,2,0)*14+VLOOKUP($K21,Subsistence,3,0)*46+IF($F21&gt;60,VLOOKUP($K21,Subsistence,4,0)*($F21-60),0),IF(LEFT($D21,15)="Short-term join",IF($F21&lt;15,Ceilings!$S$3*$F21,Ceilings!$S$3*14+Ceilings!$S$4*($F21-14)),IF(LEFT($D21,15)="Long-term study",VLOOKUP($K21,Subsistence,5,0)*ROUND($F21/30,0),IF($F21&lt;15,Ceilings!$S$6*$F21,Ceilings!$S$6*14+Ceilings!$S$7*($F21-14))))))</f>
        <v/>
      </c>
      <c r="P21" s="235" t="str">
        <f>IF(OR(ISBLANK(D21),ISBLANK(H21),ISBLANK(K21)),"",IF(I21&lt;15,Ceilings!$S$3*I21,Ceilings!$S$3*14+Ceilings!$S$4*(I21-14)))</f>
        <v/>
      </c>
      <c r="Q21" s="233" t="str">
        <f t="shared" si="4"/>
        <v/>
      </c>
      <c r="R21" s="136"/>
      <c r="S21" s="333" t="str">
        <f>IF(OR(ISBLANK($D21),ISBLANK($K21),ISBLANK(R21)),"",Ceilings!$V$3*R21)</f>
        <v/>
      </c>
      <c r="T21" s="93" t="str">
        <f t="shared" si="0"/>
        <v/>
      </c>
    </row>
    <row r="22" spans="1:20" ht="15.75" customHeight="1">
      <c r="A22" s="32"/>
      <c r="B22" s="72" t="str">
        <f>IF(ISBLANK(A22),"",VLOOKUP(A22,Management!$A$11:$C$25,2,0))</f>
        <v/>
      </c>
      <c r="C22" s="60"/>
      <c r="D22" s="79"/>
      <c r="E22" s="60"/>
      <c r="F22" s="274"/>
      <c r="G22" s="141" t="str">
        <f t="shared" si="1"/>
        <v/>
      </c>
      <c r="H22" s="136"/>
      <c r="I22" s="274"/>
      <c r="J22" s="141" t="str">
        <f t="shared" si="2"/>
        <v/>
      </c>
      <c r="K22" s="102"/>
      <c r="L22" s="458"/>
      <c r="M22" s="459"/>
      <c r="N22" s="316" t="str">
        <f t="shared" si="3"/>
        <v/>
      </c>
      <c r="O22" s="234" t="str">
        <f>IF(OR(ISBLANK($D22),ISBLANK($K22)),"",IF(LEFT($D22,15)="Long-term teach",VLOOKUP($K22,Subsistence,2,0)*14+VLOOKUP($K22,Subsistence,3,0)*46+IF($F22&gt;60,VLOOKUP($K22,Subsistence,4,0)*($F22-60),0),IF(LEFT($D22,15)="Short-term join",IF($F22&lt;15,Ceilings!$S$3*$F22,Ceilings!$S$3*14+Ceilings!$S$4*($F22-14)),IF(LEFT($D22,15)="Long-term study",VLOOKUP($K22,Subsistence,5,0)*ROUND($F22/30,0),IF($F22&lt;15,Ceilings!$S$6*$F22,Ceilings!$S$6*14+Ceilings!$S$7*($F22-14))))))</f>
        <v/>
      </c>
      <c r="P22" s="235" t="str">
        <f>IF(OR(ISBLANK(D22),ISBLANK(H22),ISBLANK(K22)),"",IF(I22&lt;15,Ceilings!$S$3*I22,Ceilings!$S$3*14+Ceilings!$S$4*(I22-14)))</f>
        <v/>
      </c>
      <c r="Q22" s="233" t="str">
        <f t="shared" si="4"/>
        <v/>
      </c>
      <c r="R22" s="136"/>
      <c r="S22" s="333" t="str">
        <f>IF(OR(ISBLANK($D22),ISBLANK($K22),ISBLANK(R22)),"",Ceilings!$V$3*R22)</f>
        <v/>
      </c>
      <c r="T22" s="93" t="str">
        <f t="shared" si="0"/>
        <v/>
      </c>
    </row>
    <row r="23" spans="1:20" ht="15.75" customHeight="1">
      <c r="A23" s="32"/>
      <c r="B23" s="72" t="str">
        <f>IF(ISBLANK(A23),"",VLOOKUP(A23,Management!$A$11:$C$25,2,0))</f>
        <v/>
      </c>
      <c r="C23" s="60"/>
      <c r="D23" s="79"/>
      <c r="E23" s="60"/>
      <c r="F23" s="274"/>
      <c r="G23" s="141" t="str">
        <f t="shared" si="1"/>
        <v/>
      </c>
      <c r="H23" s="136"/>
      <c r="I23" s="274"/>
      <c r="J23" s="141" t="str">
        <f t="shared" si="2"/>
        <v/>
      </c>
      <c r="K23" s="102"/>
      <c r="L23" s="458"/>
      <c r="M23" s="459"/>
      <c r="N23" s="316" t="str">
        <f t="shared" si="3"/>
        <v/>
      </c>
      <c r="O23" s="234" t="str">
        <f>IF(OR(ISBLANK($D23),ISBLANK($K23)),"",IF(LEFT($D23,15)="Long-term teach",VLOOKUP($K23,Subsistence,2,0)*14+VLOOKUP($K23,Subsistence,3,0)*46+IF($F23&gt;60,VLOOKUP($K23,Subsistence,4,0)*($F23-60),0),IF(LEFT($D23,15)="Short-term join",IF($F23&lt;15,Ceilings!$S$3*$F23,Ceilings!$S$3*14+Ceilings!$S$4*($F23-14)),IF(LEFT($D23,15)="Long-term study",VLOOKUP($K23,Subsistence,5,0)*ROUND($F23/30,0),IF($F23&lt;15,Ceilings!$S$6*$F23,Ceilings!$S$6*14+Ceilings!$S$7*($F23-14))))))</f>
        <v/>
      </c>
      <c r="P23" s="235" t="str">
        <f>IF(OR(ISBLANK(D23),ISBLANK(H23),ISBLANK(K23)),"",IF(I23&lt;15,Ceilings!$S$3*I23,Ceilings!$S$3*14+Ceilings!$S$4*(I23-14)))</f>
        <v/>
      </c>
      <c r="Q23" s="233" t="str">
        <f t="shared" si="4"/>
        <v/>
      </c>
      <c r="R23" s="136"/>
      <c r="S23" s="333" t="str">
        <f>IF(OR(ISBLANK($D23),ISBLANK($K23),ISBLANK(R23)),"",Ceilings!$V$3*R23)</f>
        <v/>
      </c>
      <c r="T23" s="93" t="str">
        <f t="shared" si="0"/>
        <v/>
      </c>
    </row>
    <row r="24" spans="1:20" ht="15.75" customHeight="1">
      <c r="A24" s="32"/>
      <c r="B24" s="72" t="str">
        <f>IF(ISBLANK(A24),"",VLOOKUP(A24,Management!$A$11:$C$25,2,0))</f>
        <v/>
      </c>
      <c r="C24" s="60"/>
      <c r="D24" s="79"/>
      <c r="E24" s="60"/>
      <c r="F24" s="274"/>
      <c r="G24" s="141" t="str">
        <f t="shared" si="1"/>
        <v/>
      </c>
      <c r="H24" s="136"/>
      <c r="I24" s="274"/>
      <c r="J24" s="141" t="str">
        <f t="shared" si="2"/>
        <v/>
      </c>
      <c r="K24" s="102"/>
      <c r="L24" s="458"/>
      <c r="M24" s="459"/>
      <c r="N24" s="316" t="str">
        <f t="shared" si="3"/>
        <v/>
      </c>
      <c r="O24" s="234" t="str">
        <f>IF(OR(ISBLANK($D24),ISBLANK($K24)),"",IF(LEFT($D24,15)="Long-term teach",VLOOKUP($K24,Subsistence,2,0)*14+VLOOKUP($K24,Subsistence,3,0)*46+IF($F24&gt;60,VLOOKUP($K24,Subsistence,4,0)*($F24-60),0),IF(LEFT($D24,15)="Short-term join",IF($F24&lt;15,Ceilings!$S$3*$F24,Ceilings!$S$3*14+Ceilings!$S$4*($F24-14)),IF(LEFT($D24,15)="Long-term study",VLOOKUP($K24,Subsistence,5,0)*ROUND($F24/30,0),IF($F24&lt;15,Ceilings!$S$6*$F24,Ceilings!$S$6*14+Ceilings!$S$7*($F24-14))))))</f>
        <v/>
      </c>
      <c r="P24" s="235" t="str">
        <f>IF(OR(ISBLANK(D24),ISBLANK(H24),ISBLANK(K24)),"",IF(I24&lt;15,Ceilings!$S$3*I24,Ceilings!$S$3*14+Ceilings!$S$4*(I24-14)))</f>
        <v/>
      </c>
      <c r="Q24" s="233" t="str">
        <f t="shared" si="4"/>
        <v/>
      </c>
      <c r="R24" s="136"/>
      <c r="S24" s="333" t="str">
        <f>IF(OR(ISBLANK($D24),ISBLANK($K24),ISBLANK(R24)),"",Ceilings!$V$3*R24)</f>
        <v/>
      </c>
      <c r="T24" s="93" t="str">
        <f t="shared" si="0"/>
        <v/>
      </c>
    </row>
    <row r="25" spans="1:20" ht="15.75" customHeight="1">
      <c r="A25" s="32"/>
      <c r="B25" s="72" t="str">
        <f>IF(ISBLANK(A25),"",VLOOKUP(A25,Management!$A$11:$C$25,2,0))</f>
        <v/>
      </c>
      <c r="C25" s="60"/>
      <c r="D25" s="79"/>
      <c r="E25" s="60"/>
      <c r="F25" s="274"/>
      <c r="G25" s="141" t="str">
        <f t="shared" si="1"/>
        <v/>
      </c>
      <c r="H25" s="136"/>
      <c r="I25" s="274"/>
      <c r="J25" s="141" t="str">
        <f t="shared" si="2"/>
        <v/>
      </c>
      <c r="K25" s="102"/>
      <c r="L25" s="458"/>
      <c r="M25" s="459"/>
      <c r="N25" s="316" t="str">
        <f t="shared" si="3"/>
        <v/>
      </c>
      <c r="O25" s="234" t="str">
        <f>IF(OR(ISBLANK($D25),ISBLANK($K25)),"",IF(LEFT($D25,15)="Long-term teach",VLOOKUP($K25,Subsistence,2,0)*14+VLOOKUP($K25,Subsistence,3,0)*46+IF($F25&gt;60,VLOOKUP($K25,Subsistence,4,0)*($F25-60),0),IF(LEFT($D25,15)="Short-term join",IF($F25&lt;15,Ceilings!$S$3*$F25,Ceilings!$S$3*14+Ceilings!$S$4*($F25-14)),IF(LEFT($D25,15)="Long-term study",VLOOKUP($K25,Subsistence,5,0)*ROUND($F25/30,0),IF($F25&lt;15,Ceilings!$S$6*$F25,Ceilings!$S$6*14+Ceilings!$S$7*($F25-14))))))</f>
        <v/>
      </c>
      <c r="P25" s="235" t="str">
        <f>IF(OR(ISBLANK(D25),ISBLANK(H25),ISBLANK(K25)),"",IF(I25&lt;15,Ceilings!$S$3*I25,Ceilings!$S$3*14+Ceilings!$S$4*(I25-14)))</f>
        <v/>
      </c>
      <c r="Q25" s="233" t="str">
        <f t="shared" si="4"/>
        <v/>
      </c>
      <c r="R25" s="136"/>
      <c r="S25" s="333" t="str">
        <f>IF(OR(ISBLANK($D25),ISBLANK($K25),ISBLANK(R25)),"",Ceilings!$V$3*R25)</f>
        <v/>
      </c>
      <c r="T25" s="93" t="str">
        <f t="shared" si="0"/>
        <v/>
      </c>
    </row>
    <row r="26" spans="1:20" ht="15.75" customHeight="1">
      <c r="A26" s="32"/>
      <c r="B26" s="72" t="str">
        <f>IF(ISBLANK(A26),"",VLOOKUP(A26,Management!$A$11:$C$25,2,0))</f>
        <v/>
      </c>
      <c r="C26" s="60"/>
      <c r="D26" s="79"/>
      <c r="E26" s="60"/>
      <c r="F26" s="274"/>
      <c r="G26" s="141" t="str">
        <f t="shared" si="1"/>
        <v/>
      </c>
      <c r="H26" s="136"/>
      <c r="I26" s="274"/>
      <c r="J26" s="141" t="str">
        <f t="shared" si="2"/>
        <v/>
      </c>
      <c r="K26" s="102"/>
      <c r="L26" s="458"/>
      <c r="M26" s="459"/>
      <c r="N26" s="316" t="str">
        <f t="shared" si="3"/>
        <v/>
      </c>
      <c r="O26" s="234" t="str">
        <f>IF(OR(ISBLANK($D26),ISBLANK($K26)),"",IF(LEFT($D26,15)="Long-term teach",VLOOKUP($K26,Subsistence,2,0)*14+VLOOKUP($K26,Subsistence,3,0)*46+IF($F26&gt;60,VLOOKUP($K26,Subsistence,4,0)*($F26-60),0),IF(LEFT($D26,15)="Short-term join",IF($F26&lt;15,Ceilings!$S$3*$F26,Ceilings!$S$3*14+Ceilings!$S$4*($F26-14)),IF(LEFT($D26,15)="Long-term study",VLOOKUP($K26,Subsistence,5,0)*ROUND($F26/30,0),IF($F26&lt;15,Ceilings!$S$6*$F26,Ceilings!$S$6*14+Ceilings!$S$7*($F26-14))))))</f>
        <v/>
      </c>
      <c r="P26" s="235" t="str">
        <f>IF(OR(ISBLANK(D26),ISBLANK(H26),ISBLANK(K26)),"",IF(I26&lt;15,Ceilings!$S$3*I26,Ceilings!$S$3*14+Ceilings!$S$4*(I26-14)))</f>
        <v/>
      </c>
      <c r="Q26" s="233" t="str">
        <f t="shared" si="4"/>
        <v/>
      </c>
      <c r="R26" s="136"/>
      <c r="S26" s="333" t="str">
        <f>IF(OR(ISBLANK($D26),ISBLANK($K26),ISBLANK(R26)),"",Ceilings!$V$3*R26)</f>
        <v/>
      </c>
      <c r="T26" s="93" t="str">
        <f t="shared" si="0"/>
        <v/>
      </c>
    </row>
    <row r="27" spans="1:20" ht="15.75" customHeight="1">
      <c r="A27" s="32"/>
      <c r="B27" s="72" t="str">
        <f>IF(ISBLANK(A27),"",VLOOKUP(A27,Management!$A$11:$C$25,2,0))</f>
        <v/>
      </c>
      <c r="C27" s="60"/>
      <c r="D27" s="79"/>
      <c r="E27" s="60"/>
      <c r="F27" s="274"/>
      <c r="G27" s="141" t="str">
        <f t="shared" si="1"/>
        <v/>
      </c>
      <c r="H27" s="136"/>
      <c r="I27" s="274"/>
      <c r="J27" s="141" t="str">
        <f t="shared" si="2"/>
        <v/>
      </c>
      <c r="K27" s="102"/>
      <c r="L27" s="458"/>
      <c r="M27" s="459"/>
      <c r="N27" s="316" t="str">
        <f t="shared" si="3"/>
        <v/>
      </c>
      <c r="O27" s="234" t="str">
        <f>IF(OR(ISBLANK($D27),ISBLANK($K27)),"",IF(LEFT($D27,15)="Long-term teach",VLOOKUP($K27,Subsistence,2,0)*14+VLOOKUP($K27,Subsistence,3,0)*46+IF($F27&gt;60,VLOOKUP($K27,Subsistence,4,0)*($F27-60),0),IF(LEFT($D27,15)="Short-term join",IF($F27&lt;15,Ceilings!$S$3*$F27,Ceilings!$S$3*14+Ceilings!$S$4*($F27-14)),IF(LEFT($D27,15)="Long-term study",VLOOKUP($K27,Subsistence,5,0)*ROUND($F27/30,0),IF($F27&lt;15,Ceilings!$S$6*$F27,Ceilings!$S$6*14+Ceilings!$S$7*($F27-14))))))</f>
        <v/>
      </c>
      <c r="P27" s="235" t="str">
        <f>IF(OR(ISBLANK(D27),ISBLANK(H27),ISBLANK(K27)),"",IF(I27&lt;15,Ceilings!$S$3*I27,Ceilings!$S$3*14+Ceilings!$S$4*(I27-14)))</f>
        <v/>
      </c>
      <c r="Q27" s="233" t="str">
        <f t="shared" si="4"/>
        <v/>
      </c>
      <c r="R27" s="136"/>
      <c r="S27" s="333" t="str">
        <f>IF(OR(ISBLANK($D27),ISBLANK($K27),ISBLANK(R27)),"",Ceilings!$V$3*R27)</f>
        <v/>
      </c>
      <c r="T27" s="93" t="str">
        <f t="shared" si="0"/>
        <v/>
      </c>
    </row>
    <row r="28" spans="1:20" ht="15.75" customHeight="1">
      <c r="A28" s="32"/>
      <c r="B28" s="72" t="str">
        <f>IF(ISBLANK(A28),"",VLOOKUP(A28,Management!$A$11:$C$25,2,0))</f>
        <v/>
      </c>
      <c r="C28" s="60"/>
      <c r="D28" s="79"/>
      <c r="E28" s="60"/>
      <c r="F28" s="274"/>
      <c r="G28" s="141" t="str">
        <f t="shared" si="1"/>
        <v/>
      </c>
      <c r="H28" s="136"/>
      <c r="I28" s="274"/>
      <c r="J28" s="141" t="str">
        <f t="shared" si="2"/>
        <v/>
      </c>
      <c r="K28" s="102"/>
      <c r="L28" s="458"/>
      <c r="M28" s="459"/>
      <c r="N28" s="316" t="str">
        <f t="shared" si="3"/>
        <v/>
      </c>
      <c r="O28" s="234" t="str">
        <f>IF(OR(ISBLANK($D28),ISBLANK($K28)),"",IF(LEFT($D28,15)="Long-term teach",VLOOKUP($K28,Subsistence,2,0)*14+VLOOKUP($K28,Subsistence,3,0)*46+IF($F28&gt;60,VLOOKUP($K28,Subsistence,4,0)*($F28-60),0),IF(LEFT($D28,15)="Short-term join",IF($F28&lt;15,Ceilings!$S$3*$F28,Ceilings!$S$3*14+Ceilings!$S$4*($F28-14)),IF(LEFT($D28,15)="Long-term study",VLOOKUP($K28,Subsistence,5,0)*ROUND($F28/30,0),IF($F28&lt;15,Ceilings!$S$6*$F28,Ceilings!$S$6*14+Ceilings!$S$7*($F28-14))))))</f>
        <v/>
      </c>
      <c r="P28" s="235" t="str">
        <f>IF(OR(ISBLANK(D28),ISBLANK(H28),ISBLANK(K28)),"",IF(I28&lt;15,Ceilings!$S$3*I28,Ceilings!$S$3*14+Ceilings!$S$4*(I28-14)))</f>
        <v/>
      </c>
      <c r="Q28" s="233" t="str">
        <f t="shared" si="4"/>
        <v/>
      </c>
      <c r="R28" s="136"/>
      <c r="S28" s="333" t="str">
        <f>IF(OR(ISBLANK($D28),ISBLANK($K28),ISBLANK(R28)),"",Ceilings!$V$3*R28)</f>
        <v/>
      </c>
      <c r="T28" s="93" t="str">
        <f t="shared" si="0"/>
        <v/>
      </c>
    </row>
    <row r="29" spans="1:20" ht="15.75" customHeight="1">
      <c r="A29" s="32"/>
      <c r="B29" s="72" t="str">
        <f>IF(ISBLANK(A29),"",VLOOKUP(A29,Management!$A$11:$C$25,2,0))</f>
        <v/>
      </c>
      <c r="C29" s="60"/>
      <c r="D29" s="79"/>
      <c r="E29" s="60"/>
      <c r="F29" s="274"/>
      <c r="G29" s="141" t="str">
        <f t="shared" si="1"/>
        <v/>
      </c>
      <c r="H29" s="136"/>
      <c r="I29" s="274"/>
      <c r="J29" s="141" t="str">
        <f t="shared" si="2"/>
        <v/>
      </c>
      <c r="K29" s="102"/>
      <c r="L29" s="458"/>
      <c r="M29" s="459"/>
      <c r="N29" s="316" t="str">
        <f t="shared" si="3"/>
        <v/>
      </c>
      <c r="O29" s="234" t="str">
        <f>IF(OR(ISBLANK($D29),ISBLANK($K29)),"",IF(LEFT($D29,15)="Long-term teach",VLOOKUP($K29,Subsistence,2,0)*14+VLOOKUP($K29,Subsistence,3,0)*46+IF($F29&gt;60,VLOOKUP($K29,Subsistence,4,0)*($F29-60),0),IF(LEFT($D29,15)="Short-term join",IF($F29&lt;15,Ceilings!$S$3*$F29,Ceilings!$S$3*14+Ceilings!$S$4*($F29-14)),IF(LEFT($D29,15)="Long-term study",VLOOKUP($K29,Subsistence,5,0)*ROUND($F29/30,0),IF($F29&lt;15,Ceilings!$S$6*$F29,Ceilings!$S$6*14+Ceilings!$S$7*($F29-14))))))</f>
        <v/>
      </c>
      <c r="P29" s="235" t="str">
        <f>IF(OR(ISBLANK(D29),ISBLANK(H29),ISBLANK(K29)),"",IF(I29&lt;15,Ceilings!$S$3*I29,Ceilings!$S$3*14+Ceilings!$S$4*(I29-14)))</f>
        <v/>
      </c>
      <c r="Q29" s="233" t="str">
        <f t="shared" si="4"/>
        <v/>
      </c>
      <c r="R29" s="136"/>
      <c r="S29" s="333" t="str">
        <f>IF(OR(ISBLANK($D29),ISBLANK($K29),ISBLANK(R29)),"",Ceilings!$V$3*R29)</f>
        <v/>
      </c>
      <c r="T29" s="93" t="str">
        <f t="shared" si="0"/>
        <v/>
      </c>
    </row>
    <row r="30" spans="1:20" ht="15.75" customHeight="1">
      <c r="A30" s="32"/>
      <c r="B30" s="72" t="str">
        <f>IF(ISBLANK(A30),"",VLOOKUP(A30,Management!$A$11:$C$25,2,0))</f>
        <v/>
      </c>
      <c r="C30" s="60"/>
      <c r="D30" s="79"/>
      <c r="E30" s="60"/>
      <c r="F30" s="274"/>
      <c r="G30" s="141" t="str">
        <f t="shared" si="1"/>
        <v/>
      </c>
      <c r="H30" s="136"/>
      <c r="I30" s="274"/>
      <c r="J30" s="141" t="str">
        <f t="shared" si="2"/>
        <v/>
      </c>
      <c r="K30" s="102"/>
      <c r="L30" s="458"/>
      <c r="M30" s="459"/>
      <c r="N30" s="316" t="str">
        <f t="shared" si="3"/>
        <v/>
      </c>
      <c r="O30" s="234" t="str">
        <f>IF(OR(ISBLANK($D30),ISBLANK($K30)),"",IF(LEFT($D30,15)="Long-term teach",VLOOKUP($K30,Subsistence,2,0)*14+VLOOKUP($K30,Subsistence,3,0)*46+IF($F30&gt;60,VLOOKUP($K30,Subsistence,4,0)*($F30-60),0),IF(LEFT($D30,15)="Short-term join",IF($F30&lt;15,Ceilings!$S$3*$F30,Ceilings!$S$3*14+Ceilings!$S$4*($F30-14)),IF(LEFT($D30,15)="Long-term study",VLOOKUP($K30,Subsistence,5,0)*ROUND($F30/30,0),IF($F30&lt;15,Ceilings!$S$6*$F30,Ceilings!$S$6*14+Ceilings!$S$7*($F30-14))))))</f>
        <v/>
      </c>
      <c r="P30" s="235" t="str">
        <f>IF(OR(ISBLANK(D30),ISBLANK(H30),ISBLANK(K30)),"",IF(I30&lt;15,Ceilings!$S$3*I30,Ceilings!$S$3*14+Ceilings!$S$4*(I30-14)))</f>
        <v/>
      </c>
      <c r="Q30" s="233" t="str">
        <f t="shared" si="4"/>
        <v/>
      </c>
      <c r="R30" s="136"/>
      <c r="S30" s="333" t="str">
        <f>IF(OR(ISBLANK($D30),ISBLANK($K30),ISBLANK(R30)),"",Ceilings!$V$3*R30)</f>
        <v/>
      </c>
      <c r="T30" s="93" t="str">
        <f t="shared" si="0"/>
        <v/>
      </c>
    </row>
    <row r="31" spans="1:20" ht="15.75" customHeight="1">
      <c r="A31" s="32"/>
      <c r="B31" s="72" t="str">
        <f>IF(ISBLANK(A31),"",VLOOKUP(A31,Management!$A$11:$C$25,2,0))</f>
        <v/>
      </c>
      <c r="C31" s="60"/>
      <c r="D31" s="79"/>
      <c r="E31" s="60"/>
      <c r="F31" s="274"/>
      <c r="G31" s="141" t="str">
        <f t="shared" si="1"/>
        <v/>
      </c>
      <c r="H31" s="136"/>
      <c r="I31" s="274"/>
      <c r="J31" s="141" t="str">
        <f t="shared" si="2"/>
        <v/>
      </c>
      <c r="K31" s="102"/>
      <c r="L31" s="458"/>
      <c r="M31" s="459"/>
      <c r="N31" s="316" t="str">
        <f t="shared" si="3"/>
        <v/>
      </c>
      <c r="O31" s="234" t="str">
        <f>IF(OR(ISBLANK($D31),ISBLANK($K31)),"",IF(LEFT($D31,15)="Long-term teach",VLOOKUP($K31,Subsistence,2,0)*14+VLOOKUP($K31,Subsistence,3,0)*46+IF($F31&gt;60,VLOOKUP($K31,Subsistence,4,0)*($F31-60),0),IF(LEFT($D31,15)="Short-term join",IF($F31&lt;15,Ceilings!$S$3*$F31,Ceilings!$S$3*14+Ceilings!$S$4*($F31-14)),IF(LEFT($D31,15)="Long-term study",VLOOKUP($K31,Subsistence,5,0)*ROUND($F31/30,0),IF($F31&lt;15,Ceilings!$S$6*$F31,Ceilings!$S$6*14+Ceilings!$S$7*($F31-14))))))</f>
        <v/>
      </c>
      <c r="P31" s="235" t="str">
        <f>IF(OR(ISBLANK(D31),ISBLANK(H31),ISBLANK(K31)),"",IF(I31&lt;15,Ceilings!$S$3*I31,Ceilings!$S$3*14+Ceilings!$S$4*(I31-14)))</f>
        <v/>
      </c>
      <c r="Q31" s="233" t="str">
        <f t="shared" si="4"/>
        <v/>
      </c>
      <c r="R31" s="136"/>
      <c r="S31" s="333" t="str">
        <f>IF(OR(ISBLANK($D31),ISBLANK($K31),ISBLANK(R31)),"",Ceilings!$V$3*R31)</f>
        <v/>
      </c>
      <c r="T31" s="93" t="str">
        <f t="shared" si="0"/>
        <v/>
      </c>
    </row>
    <row r="32" spans="1:20" ht="15.75" customHeight="1">
      <c r="A32" s="32"/>
      <c r="B32" s="72" t="str">
        <f>IF(ISBLANK(A32),"",VLOOKUP(A32,Management!$A$11:$C$25,2,0))</f>
        <v/>
      </c>
      <c r="C32" s="60"/>
      <c r="D32" s="79"/>
      <c r="E32" s="60"/>
      <c r="F32" s="274"/>
      <c r="G32" s="141" t="str">
        <f t="shared" si="1"/>
        <v/>
      </c>
      <c r="H32" s="136"/>
      <c r="I32" s="274"/>
      <c r="J32" s="141" t="str">
        <f t="shared" si="2"/>
        <v/>
      </c>
      <c r="K32" s="102"/>
      <c r="L32" s="458"/>
      <c r="M32" s="459"/>
      <c r="N32" s="316" t="str">
        <f t="shared" si="3"/>
        <v/>
      </c>
      <c r="O32" s="234" t="str">
        <f>IF(OR(ISBLANK($D32),ISBLANK($K32)),"",IF(LEFT($D32,15)="Long-term teach",VLOOKUP($K32,Subsistence,2,0)*14+VLOOKUP($K32,Subsistence,3,0)*46+IF($F32&gt;60,VLOOKUP($K32,Subsistence,4,0)*($F32-60),0),IF(LEFT($D32,15)="Short-term join",IF($F32&lt;15,Ceilings!$S$3*$F32,Ceilings!$S$3*14+Ceilings!$S$4*($F32-14)),IF(LEFT($D32,15)="Long-term study",VLOOKUP($K32,Subsistence,5,0)*ROUND($F32/30,0),IF($F32&lt;15,Ceilings!$S$6*$F32,Ceilings!$S$6*14+Ceilings!$S$7*($F32-14))))))</f>
        <v/>
      </c>
      <c r="P32" s="235" t="str">
        <f>IF(OR(ISBLANK(D32),ISBLANK(H32),ISBLANK(K32)),"",IF(I32&lt;15,Ceilings!$S$3*I32,Ceilings!$S$3*14+Ceilings!$S$4*(I32-14)))</f>
        <v/>
      </c>
      <c r="Q32" s="233" t="str">
        <f t="shared" si="4"/>
        <v/>
      </c>
      <c r="R32" s="136"/>
      <c r="S32" s="333" t="str">
        <f>IF(OR(ISBLANK($D32),ISBLANK($K32),ISBLANK(R32)),"",Ceilings!$V$3*R32)</f>
        <v/>
      </c>
      <c r="T32" s="93" t="str">
        <f t="shared" si="0"/>
        <v/>
      </c>
    </row>
    <row r="33" spans="1:20" ht="15.75" customHeight="1">
      <c r="A33" s="32"/>
      <c r="B33" s="72" t="str">
        <f>IF(ISBLANK(A33),"",VLOOKUP(A33,Management!$A$11:$C$25,2,0))</f>
        <v/>
      </c>
      <c r="C33" s="60"/>
      <c r="D33" s="79"/>
      <c r="E33" s="60"/>
      <c r="F33" s="274"/>
      <c r="G33" s="141" t="str">
        <f t="shared" si="1"/>
        <v/>
      </c>
      <c r="H33" s="136"/>
      <c r="I33" s="274"/>
      <c r="J33" s="141" t="str">
        <f t="shared" si="2"/>
        <v/>
      </c>
      <c r="K33" s="102"/>
      <c r="L33" s="458"/>
      <c r="M33" s="459"/>
      <c r="N33" s="316" t="str">
        <f t="shared" si="3"/>
        <v/>
      </c>
      <c r="O33" s="234" t="str">
        <f>IF(OR(ISBLANK($D33),ISBLANK($K33)),"",IF(LEFT($D33,15)="Long-term teach",VLOOKUP($K33,Subsistence,2,0)*14+VLOOKUP($K33,Subsistence,3,0)*46+IF($F33&gt;60,VLOOKUP($K33,Subsistence,4,0)*($F33-60),0),IF(LEFT($D33,15)="Short-term join",IF($F33&lt;15,Ceilings!$S$3*$F33,Ceilings!$S$3*14+Ceilings!$S$4*($F33-14)),IF(LEFT($D33,15)="Long-term study",VLOOKUP($K33,Subsistence,5,0)*ROUND($F33/30,0),IF($F33&lt;15,Ceilings!$S$6*$F33,Ceilings!$S$6*14+Ceilings!$S$7*($F33-14))))))</f>
        <v/>
      </c>
      <c r="P33" s="235" t="str">
        <f>IF(OR(ISBLANK(D33),ISBLANK(H33),ISBLANK(K33)),"",IF(I33&lt;15,Ceilings!$S$3*I33,Ceilings!$S$3*14+Ceilings!$S$4*(I33-14)))</f>
        <v/>
      </c>
      <c r="Q33" s="233" t="str">
        <f t="shared" si="4"/>
        <v/>
      </c>
      <c r="R33" s="136"/>
      <c r="S33" s="333" t="str">
        <f>IF(OR(ISBLANK($D33),ISBLANK($K33),ISBLANK(R33)),"",Ceilings!$V$3*R33)</f>
        <v/>
      </c>
      <c r="T33" s="93" t="str">
        <f t="shared" si="0"/>
        <v/>
      </c>
    </row>
    <row r="34" spans="1:20" ht="15.75" customHeight="1">
      <c r="A34" s="32"/>
      <c r="B34" s="72" t="str">
        <f>IF(ISBLANK(A34),"",VLOOKUP(A34,Management!$A$11:$C$25,2,0))</f>
        <v/>
      </c>
      <c r="C34" s="60"/>
      <c r="D34" s="79"/>
      <c r="E34" s="60"/>
      <c r="F34" s="274"/>
      <c r="G34" s="141" t="str">
        <f t="shared" si="1"/>
        <v/>
      </c>
      <c r="H34" s="136"/>
      <c r="I34" s="274"/>
      <c r="J34" s="141" t="str">
        <f t="shared" si="2"/>
        <v/>
      </c>
      <c r="K34" s="102"/>
      <c r="L34" s="458"/>
      <c r="M34" s="459"/>
      <c r="N34" s="316" t="str">
        <f t="shared" si="3"/>
        <v/>
      </c>
      <c r="O34" s="234" t="str">
        <f>IF(OR(ISBLANK($D34),ISBLANK($K34)),"",IF(LEFT($D34,15)="Long-term teach",VLOOKUP($K34,Subsistence,2,0)*14+VLOOKUP($K34,Subsistence,3,0)*46+IF($F34&gt;60,VLOOKUP($K34,Subsistence,4,0)*($F34-60),0),IF(LEFT($D34,15)="Short-term join",IF($F34&lt;15,Ceilings!$S$3*$F34,Ceilings!$S$3*14+Ceilings!$S$4*($F34-14)),IF(LEFT($D34,15)="Long-term study",VLOOKUP($K34,Subsistence,5,0)*ROUND($F34/30,0),IF($F34&lt;15,Ceilings!$S$6*$F34,Ceilings!$S$6*14+Ceilings!$S$7*($F34-14))))))</f>
        <v/>
      </c>
      <c r="P34" s="235" t="str">
        <f>IF(OR(ISBLANK(D34),ISBLANK(H34),ISBLANK(K34)),"",IF(I34&lt;15,Ceilings!$S$3*I34,Ceilings!$S$3*14+Ceilings!$S$4*(I34-14)))</f>
        <v/>
      </c>
      <c r="Q34" s="233" t="str">
        <f t="shared" si="4"/>
        <v/>
      </c>
      <c r="R34" s="136"/>
      <c r="S34" s="333" t="str">
        <f>IF(OR(ISBLANK($D34),ISBLANK($K34),ISBLANK(R34)),"",Ceilings!$V$3*R34)</f>
        <v/>
      </c>
      <c r="T34" s="93" t="str">
        <f t="shared" si="0"/>
        <v/>
      </c>
    </row>
    <row r="35" spans="1:20" ht="15.75" customHeight="1">
      <c r="A35" s="32"/>
      <c r="B35" s="72" t="str">
        <f>IF(ISBLANK(A35),"",VLOOKUP(A35,Management!$A$11:$C$25,2,0))</f>
        <v/>
      </c>
      <c r="C35" s="60"/>
      <c r="D35" s="79"/>
      <c r="E35" s="60"/>
      <c r="F35" s="274"/>
      <c r="G35" s="141" t="str">
        <f t="shared" si="1"/>
        <v/>
      </c>
      <c r="H35" s="136"/>
      <c r="I35" s="274"/>
      <c r="J35" s="141" t="str">
        <f t="shared" si="2"/>
        <v/>
      </c>
      <c r="K35" s="102"/>
      <c r="L35" s="458"/>
      <c r="M35" s="459"/>
      <c r="N35" s="316" t="str">
        <f t="shared" si="3"/>
        <v/>
      </c>
      <c r="O35" s="234" t="str">
        <f>IF(OR(ISBLANK($D35),ISBLANK($K35)),"",IF(LEFT($D35,15)="Long-term teach",VLOOKUP($K35,Subsistence,2,0)*14+VLOOKUP($K35,Subsistence,3,0)*46+IF($F35&gt;60,VLOOKUP($K35,Subsistence,4,0)*($F35-60),0),IF(LEFT($D35,15)="Short-term join",IF($F35&lt;15,Ceilings!$S$3*$F35,Ceilings!$S$3*14+Ceilings!$S$4*($F35-14)),IF(LEFT($D35,15)="Long-term study",VLOOKUP($K35,Subsistence,5,0)*ROUND($F35/30,0),IF($F35&lt;15,Ceilings!$S$6*$F35,Ceilings!$S$6*14+Ceilings!$S$7*($F35-14))))))</f>
        <v/>
      </c>
      <c r="P35" s="235" t="str">
        <f>IF(OR(ISBLANK(D35),ISBLANK(H35),ISBLANK(K35)),"",IF(I35&lt;15,Ceilings!$S$3*I35,Ceilings!$S$3*14+Ceilings!$S$4*(I35-14)))</f>
        <v/>
      </c>
      <c r="Q35" s="233" t="str">
        <f t="shared" si="4"/>
        <v/>
      </c>
      <c r="R35" s="136"/>
      <c r="S35" s="333" t="str">
        <f>IF(OR(ISBLANK($D35),ISBLANK($K35),ISBLANK(R35)),"",Ceilings!$V$3*R35)</f>
        <v/>
      </c>
      <c r="T35" s="93" t="str">
        <f t="shared" si="0"/>
        <v/>
      </c>
    </row>
    <row r="36" spans="1:20" ht="15.75" customHeight="1">
      <c r="A36" s="32"/>
      <c r="B36" s="72" t="str">
        <f>IF(ISBLANK(A36),"",VLOOKUP(A36,Management!$A$11:$C$25,2,0))</f>
        <v/>
      </c>
      <c r="C36" s="60"/>
      <c r="D36" s="79"/>
      <c r="E36" s="60"/>
      <c r="F36" s="274"/>
      <c r="G36" s="141" t="str">
        <f t="shared" si="1"/>
        <v/>
      </c>
      <c r="H36" s="136"/>
      <c r="I36" s="274"/>
      <c r="J36" s="141" t="str">
        <f t="shared" si="2"/>
        <v/>
      </c>
      <c r="K36" s="102"/>
      <c r="L36" s="458"/>
      <c r="M36" s="459"/>
      <c r="N36" s="316" t="str">
        <f t="shared" si="3"/>
        <v/>
      </c>
      <c r="O36" s="234" t="str">
        <f>IF(OR(ISBLANK($D36),ISBLANK($K36)),"",IF(LEFT($D36,15)="Long-term teach",VLOOKUP($K36,Subsistence,2,0)*14+VLOOKUP($K36,Subsistence,3,0)*46+IF($F36&gt;60,VLOOKUP($K36,Subsistence,4,0)*($F36-60),0),IF(LEFT($D36,15)="Short-term join",IF($F36&lt;15,Ceilings!$S$3*$F36,Ceilings!$S$3*14+Ceilings!$S$4*($F36-14)),IF(LEFT($D36,15)="Long-term study",VLOOKUP($K36,Subsistence,5,0)*ROUND($F36/30,0),IF($F36&lt;15,Ceilings!$S$6*$F36,Ceilings!$S$6*14+Ceilings!$S$7*($F36-14))))))</f>
        <v/>
      </c>
      <c r="P36" s="235" t="str">
        <f>IF(OR(ISBLANK(D36),ISBLANK(H36),ISBLANK(K36)),"",IF(I36&lt;15,Ceilings!$S$3*I36,Ceilings!$S$3*14+Ceilings!$S$4*(I36-14)))</f>
        <v/>
      </c>
      <c r="Q36" s="233" t="str">
        <f t="shared" si="4"/>
        <v/>
      </c>
      <c r="R36" s="136"/>
      <c r="S36" s="333" t="str">
        <f>IF(OR(ISBLANK($D36),ISBLANK($K36),ISBLANK(R36)),"",Ceilings!$V$3*R36)</f>
        <v/>
      </c>
      <c r="T36" s="93" t="str">
        <f t="shared" si="0"/>
        <v/>
      </c>
    </row>
    <row r="37" spans="1:20" ht="15.75" customHeight="1" thickBot="1">
      <c r="A37" s="35"/>
      <c r="B37" s="73" t="str">
        <f>IF(ISBLANK(A37),"",VLOOKUP(A37,Management!$A$11:$C$25,2,0))</f>
        <v/>
      </c>
      <c r="C37" s="62"/>
      <c r="D37" s="80"/>
      <c r="E37" s="62"/>
      <c r="F37" s="275"/>
      <c r="G37" s="142" t="str">
        <f t="shared" si="1"/>
        <v/>
      </c>
      <c r="H37" s="137"/>
      <c r="I37" s="275"/>
      <c r="J37" s="142" t="str">
        <f t="shared" si="2"/>
        <v/>
      </c>
      <c r="K37" s="103"/>
      <c r="L37" s="460"/>
      <c r="M37" s="461"/>
      <c r="N37" s="323" t="str">
        <f t="shared" si="3"/>
        <v/>
      </c>
      <c r="O37" s="237" t="str">
        <f>IF(OR(ISBLANK($D37),ISBLANK($K37)),"",IF(LEFT($D37,15)="Long-term teach",VLOOKUP($K37,Subsistence,2,0)*14+VLOOKUP($K37,Subsistence,3,0)*46+IF($F37&gt;60,VLOOKUP($K37,Subsistence,4,0)*($F37-60),0),IF(LEFT($D37,15)="Short-term join",IF($F37&lt;15,Ceilings!$S$3*$F37,Ceilings!$S$3*14+Ceilings!$S$4*($F37-14)),IF(LEFT($D37,15)="Long-term study",VLOOKUP($K37,Subsistence,5,0)*ROUND($F37/30,0),IF($F37&lt;15,Ceilings!$S$6*$F37,Ceilings!$S$6*14+Ceilings!$S$7*($F37-14))))))</f>
        <v/>
      </c>
      <c r="P37" s="238" t="str">
        <f>IF(OR(ISBLANK(D37),ISBLANK(H37),ISBLANK(K37)),"",IF(I37&lt;15,Ceilings!$S$3*I37,Ceilings!$S$3*14+Ceilings!$S$4*(I37-14)))</f>
        <v/>
      </c>
      <c r="Q37" s="236" t="str">
        <f t="shared" si="4"/>
        <v/>
      </c>
      <c r="R37" s="137"/>
      <c r="S37" s="334" t="str">
        <f>IF(OR(ISBLANK($D37),ISBLANK($K37),ISBLANK(R37)),"",Ceilings!$V$3*R37)</f>
        <v/>
      </c>
      <c r="T37" s="97" t="str">
        <f t="shared" si="0"/>
        <v/>
      </c>
    </row>
    <row r="38" spans="1:20">
      <c r="E38" s="56">
        <f>SUM(E7:E37)</f>
        <v>0</v>
      </c>
      <c r="H38" s="56">
        <f t="shared" ref="H38" si="5">SUM(H7:H37)</f>
        <v>0</v>
      </c>
      <c r="R38" s="56"/>
    </row>
  </sheetData>
  <sheetProtection password="CBC2" sheet="1" objects="1" scenarios="1" sort="0" autoFilter="0"/>
  <mergeCells count="19">
    <mergeCell ref="E1:H2"/>
    <mergeCell ref="J1:S1"/>
    <mergeCell ref="B2:C2"/>
    <mergeCell ref="J2:S2"/>
    <mergeCell ref="T4:T5"/>
    <mergeCell ref="F4:G5"/>
    <mergeCell ref="H4:H5"/>
    <mergeCell ref="I4:J5"/>
    <mergeCell ref="K4:K5"/>
    <mergeCell ref="L4:L5"/>
    <mergeCell ref="M4:M5"/>
    <mergeCell ref="N4:N5"/>
    <mergeCell ref="O4:Q4"/>
    <mergeCell ref="R4:S4"/>
    <mergeCell ref="A4:A5"/>
    <mergeCell ref="B4:B5"/>
    <mergeCell ref="C4:C5"/>
    <mergeCell ref="D4:D5"/>
    <mergeCell ref="E4:E5"/>
  </mergeCells>
  <phoneticPr fontId="7" type="noConversion"/>
  <conditionalFormatting sqref="R7:R37">
    <cfRule type="expression" dxfId="9" priority="7"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8" priority="3" stopIfTrue="1" operator="equal">
      <formula>$B7</formula>
    </cfRule>
  </conditionalFormatting>
  <dataValidations disablePrompts="1" count="10">
    <dataValidation type="custom" showInputMessage="1" showErrorMessage="1" sqref="R7:R37">
      <formula1>LEFT($D7,4)="Long"</formula1>
    </dataValidation>
    <dataValidation type="custom" allowBlank="1" showInputMessage="1" showErrorMessage="1" error="It is not possible greater than for participants." sqref="I7:I37">
      <formula1>I7&lt;=F7</formula1>
    </dataValidation>
    <dataValidation type="list" allowBlank="1" showInputMessage="1" showErrorMessage="1" sqref="K7:K37">
      <formula1>CountriesofPs</formula1>
    </dataValidation>
    <dataValidation type="list" allowBlank="1" showInputMessage="1" showErrorMessage="1" sqref="A7:A37">
      <formula1>Partners</formula1>
    </dataValidation>
    <dataValidation type="list" allowBlank="1" showInputMessage="1" showErrorMessage="1" sqref="D7:D37">
      <formula1>IF(ISNA(MATCH(B7,PCountries,0)),Activity_t,S_Activity_t)</formula1>
    </dataValidation>
    <dataValidation type="list" allowBlank="1" showInputMessage="1" showErrorMessage="1" sqref="L7:L37">
      <formula1>Distances</formula1>
    </dataValidation>
    <dataValidation allowBlank="1" error="Long-term teaching or training assignments &lt; 367 days, otherwise between 5 and 60 days." sqref="G7:G37 J7:J37"/>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type="custom" showErrorMessage="1" error="It is not possible greater than the number of participants and accompanying persons." sqref="M7">
      <formula1>M7&lt;=E7+H7</formula1>
    </dataValidation>
    <dataValidation type="custom" allowBlank="1" showErrorMessage="1" error="It is not possible greater than the number of participants and accompanying persons." sqref="M8:M37">
      <formula1>M8&lt;=E8+H8</formula1>
    </dataValidation>
  </dataValidations>
  <printOptions horizontalCentered="1"/>
  <pageMargins left="0.7" right="0.7" top="0.75" bottom="0.75" header="0.3" footer="0.3"/>
  <pageSetup paperSize="9" scale="59" orientation="landscape" r:id="rId1"/>
  <headerFooter scaleWithDoc="0">
    <oddHeader>&amp;C&amp;11 2017. E+ KA202&amp;RVersion: 2017.02.16. - TKA</oddHeader>
    <oddFooter>&amp;C&amp;"Arial,Félkövér"&amp;A</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8" stopIfTrue="1" id="{ED3B417E-F23C-4E2E-8216-446B39DBFD15}">
            <xm:f>MATCH($D7,Ceilings!$J$43:$J$45,0)&gt;0</xm:f>
            <x14:dxf>
              <fill>
                <patternFill patternType="solid">
                  <bgColor theme="0"/>
                </patternFill>
              </fill>
            </x14:dxf>
          </x14:cfRule>
          <xm:sqref>H7:H37</xm:sqref>
        </x14:conditionalFormatting>
      </x14:conditionalFormattings>
    </ext>
    <ext xmlns:x14="http://schemas.microsoft.com/office/spreadsheetml/2009/9/main" uri="{CCE6A557-97BC-4b89-ADB6-D9C93CAAB3DF}">
      <x14:dataValidations xmlns:xm="http://schemas.microsoft.com/office/excel/2006/main" disablePrompts="1" count="1">
        <x14:dataValidation type="custom" showInputMessage="1" showErrorMessage="1">
          <x14:formula1>
            <xm:f>MATCH($D7,Ceilings!$J$43:$J$45,0)&gt;0</xm:f>
          </x14:formula1>
          <xm:sqref>H7:H37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Y38"/>
  <sheetViews>
    <sheetView topLeftCell="M1" zoomScale="85" zoomScaleNormal="85" zoomScalePageLayoutView="85" workbookViewId="0">
      <selection activeCell="V6" sqref="V6"/>
    </sheetView>
  </sheetViews>
  <sheetFormatPr defaultColWidth="8.85546875" defaultRowHeight="12.75"/>
  <cols>
    <col min="1" max="1" width="18.85546875" style="74" customWidth="1"/>
    <col min="2" max="2" width="12.7109375" style="75" bestFit="1" customWidth="1"/>
    <col min="3" max="3" width="6.85546875" style="56" bestFit="1" customWidth="1"/>
    <col min="4" max="4" width="39.42578125" style="76" customWidth="1"/>
    <col min="5" max="5" width="10.42578125" style="56" bestFit="1" customWidth="1"/>
    <col min="6" max="6" width="5.28515625" style="56" customWidth="1"/>
    <col min="7" max="7" width="5" style="56" bestFit="1" customWidth="1"/>
    <col min="8" max="8" width="10.42578125" style="56" customWidth="1"/>
    <col min="9" max="9" width="5.28515625" style="56" customWidth="1"/>
    <col min="10" max="10" width="5" style="56" bestFit="1" customWidth="1"/>
    <col min="11" max="11" width="8.42578125" style="70" customWidth="1"/>
    <col min="12" max="12" width="17.28515625" style="77" bestFit="1" customWidth="1"/>
    <col min="13" max="13" width="5.28515625" style="56" customWidth="1"/>
    <col min="14" max="14" width="10" style="57" bestFit="1" customWidth="1"/>
    <col min="15" max="16" width="10.7109375" style="57" customWidth="1"/>
    <col min="17" max="17" width="10.42578125" style="57" bestFit="1" customWidth="1"/>
    <col min="18" max="18" width="10.140625" style="57" bestFit="1" customWidth="1"/>
    <col min="19" max="19" width="9.140625" style="57" bestFit="1" customWidth="1"/>
    <col min="20" max="20" width="11.42578125" style="57" bestFit="1" customWidth="1"/>
    <col min="21" max="16384" width="8.85546875" style="70"/>
  </cols>
  <sheetData>
    <row r="1" spans="1:259" s="465" customFormat="1" ht="15.75">
      <c r="A1" s="188" t="s">
        <v>413</v>
      </c>
      <c r="B1" s="189"/>
      <c r="C1" s="463"/>
      <c r="D1" s="464"/>
      <c r="E1" s="572" t="s">
        <v>447</v>
      </c>
      <c r="F1" s="573"/>
      <c r="G1" s="573"/>
      <c r="H1" s="574"/>
      <c r="J1" s="578" t="s">
        <v>423</v>
      </c>
      <c r="K1" s="579"/>
      <c r="L1" s="579"/>
      <c r="M1" s="579"/>
      <c r="N1" s="579"/>
      <c r="O1" s="579"/>
      <c r="P1" s="579"/>
      <c r="Q1" s="579"/>
      <c r="R1" s="579"/>
      <c r="S1" s="58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68" t="s">
        <v>494</v>
      </c>
      <c r="C2" s="568"/>
      <c r="E2" s="575"/>
      <c r="F2" s="576"/>
      <c r="G2" s="576"/>
      <c r="H2" s="577"/>
      <c r="J2" s="581" t="s">
        <v>489</v>
      </c>
      <c r="K2" s="582"/>
      <c r="L2" s="582"/>
      <c r="M2" s="582"/>
      <c r="N2" s="582"/>
      <c r="O2" s="582"/>
      <c r="P2" s="582"/>
      <c r="Q2" s="582"/>
      <c r="R2" s="582"/>
      <c r="S2" s="583"/>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18" t="s">
        <v>483</v>
      </c>
      <c r="B4" s="520" t="s">
        <v>32</v>
      </c>
      <c r="C4" s="524" t="s">
        <v>324</v>
      </c>
      <c r="D4" s="555" t="s">
        <v>144</v>
      </c>
      <c r="E4" s="524" t="s">
        <v>404</v>
      </c>
      <c r="F4" s="561" t="s">
        <v>427</v>
      </c>
      <c r="G4" s="562"/>
      <c r="H4" s="524" t="s">
        <v>403</v>
      </c>
      <c r="I4" s="557" t="s">
        <v>428</v>
      </c>
      <c r="J4" s="558"/>
      <c r="K4" s="547" t="s">
        <v>486</v>
      </c>
      <c r="L4" s="545" t="s">
        <v>120</v>
      </c>
      <c r="M4" s="549" t="s">
        <v>487</v>
      </c>
      <c r="N4" s="543" t="s">
        <v>146</v>
      </c>
      <c r="O4" s="553" t="s">
        <v>330</v>
      </c>
      <c r="P4" s="554"/>
      <c r="Q4" s="543"/>
      <c r="R4" s="551" t="s">
        <v>328</v>
      </c>
      <c r="S4" s="552"/>
      <c r="T4" s="526"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19"/>
      <c r="B5" s="521"/>
      <c r="C5" s="525"/>
      <c r="D5" s="556"/>
      <c r="E5" s="525"/>
      <c r="F5" s="563"/>
      <c r="G5" s="564"/>
      <c r="H5" s="525"/>
      <c r="I5" s="559"/>
      <c r="J5" s="560"/>
      <c r="K5" s="548"/>
      <c r="L5" s="546"/>
      <c r="M5" s="550"/>
      <c r="N5" s="544"/>
      <c r="O5" s="197" t="s">
        <v>331</v>
      </c>
      <c r="P5" s="198" t="s">
        <v>405</v>
      </c>
      <c r="Q5" s="199" t="s">
        <v>329</v>
      </c>
      <c r="R5" s="276" t="s">
        <v>145</v>
      </c>
      <c r="S5" s="199" t="s">
        <v>329</v>
      </c>
      <c r="T5" s="527"/>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IF(OR(ISBLANK($D7),ISBLANK($K7)),"",IF(LEFT($D7,18)="Short-term blended",IF($F7&lt;15,Ceilings!$S$6*$F7,Ceilings!$S$6*14+Ceilings!$S$7*($F7-14)),IF(LEFT($D7,18)="Short-term joint s",IF($F7&lt;15,Ceilings!$S$3*$F7,Ceilings!$S$3*14+Ceilings!$S$4*($F7-14)),VLOOKUP($K7,Subsistence,2,0)*14+VLOOKUP($K7,Subsistence,3,0)*46+IF($F7&gt;60,VLOOKUP($K7,Subsistence,4,0)*($F7-60),0))))</f>
        <v/>
      </c>
      <c r="P7" s="232" t="str">
        <f>IF(OR(ISBLANK(D7),ISBLANK(H7),ISBLANK(K7)),"",IF(I7&lt;15,Ceilings!$S$3*I7,Ceilings!$S$3*14+Ceilings!$S$4*(I7-14)))</f>
        <v/>
      </c>
      <c r="Q7" s="230" t="str">
        <f>IF(O7="","",$E7*O7+IF(P7="",0,$H7*P7))</f>
        <v/>
      </c>
      <c r="R7" s="135"/>
      <c r="S7" s="332" t="str">
        <f>IF(OR(ISBLANK($D7),ISBLANK($K7),ISBLANK(R7)),"",Ceilings!$V$3*R7)</f>
        <v/>
      </c>
      <c r="T7" s="221" t="str">
        <f t="shared" ref="T7:T37" si="0">IF(ISBLANK($A7),"",IF(OR(ISBLANK($C7),ISBLANK($D7),ISBLANK($E7),ISBLANK($K7)),"Missing data",SUM($N7,$Q7,$S7)))</f>
        <v/>
      </c>
    </row>
    <row r="8" spans="1:259" ht="15.75" customHeight="1">
      <c r="A8" s="32"/>
      <c r="B8" s="72" t="str">
        <f>IF(ISBLANK(A8),"",VLOOKUP(A8,Management!$A$11:$C$25,2,0))</f>
        <v/>
      </c>
      <c r="C8" s="60"/>
      <c r="D8" s="79"/>
      <c r="E8" s="60"/>
      <c r="F8" s="274"/>
      <c r="G8" s="141" t="str">
        <f t="shared" ref="G8:G37" si="1">IF(ISBLANK($D8),"","days")</f>
        <v/>
      </c>
      <c r="H8" s="136"/>
      <c r="I8" s="274"/>
      <c r="J8" s="141" t="str">
        <f t="shared" ref="J8:J37" si="2">IF(ISBLANK($D8),"","days")</f>
        <v/>
      </c>
      <c r="K8" s="102"/>
      <c r="L8" s="458"/>
      <c r="M8" s="459"/>
      <c r="N8" s="316" t="str">
        <f t="shared" ref="N8:N37" si="3">IF(ISBLANK(L8),"",SUM(E8,H8)*VLOOKUP(L8,TravelGrant,2,0))</f>
        <v/>
      </c>
      <c r="O8" s="234" t="str">
        <f>IF(OR(ISBLANK($D8),ISBLANK($K8)),"",IF(LEFT($D8,18)="Short-term blended",IF($F8&lt;15,Ceilings!$S$6*$F8,Ceilings!$S$6*14+Ceilings!$S$7*($F8-14)),IF(LEFT($D8,18)="Short-term joint s",IF($F8&lt;15,Ceilings!$S$3*$F8,Ceilings!$S$3*14+Ceilings!$S$4*($F8-14)),VLOOKUP($K8,Subsistence,2,0)*14+VLOOKUP($K8,Subsistence,3,0)*46+IF($F8&gt;60,VLOOKUP($K8,Subsistence,4,0)*($F8-60),0))))</f>
        <v/>
      </c>
      <c r="P8" s="235" t="str">
        <f>IF(OR(ISBLANK(D8),ISBLANK(H8),ISBLANK(K8)),"",IF(I8&lt;15,Ceilings!$S$3*I8,Ceilings!$S$3*14+Ceilings!$S$4*(I8-14)))</f>
        <v/>
      </c>
      <c r="Q8" s="233" t="str">
        <f t="shared" ref="Q8:Q37" si="4">IF(O8="","",$E8*O8+IF(P8="",0,$H8*P8))</f>
        <v/>
      </c>
      <c r="R8" s="136"/>
      <c r="S8" s="333" t="str">
        <f>IF(OR(ISBLANK($D8),ISBLANK($K8),ISBLANK(R8)),"",Ceilings!$V$3*R8)</f>
        <v/>
      </c>
      <c r="T8" s="93" t="str">
        <f t="shared" si="0"/>
        <v/>
      </c>
    </row>
    <row r="9" spans="1:259" ht="15.75" customHeight="1">
      <c r="A9" s="32"/>
      <c r="B9" s="72" t="str">
        <f>IF(ISBLANK(A9),"",VLOOKUP(A9,Management!$A$11:$C$25,2,0))</f>
        <v/>
      </c>
      <c r="C9" s="60"/>
      <c r="D9" s="79"/>
      <c r="E9" s="60"/>
      <c r="F9" s="274"/>
      <c r="G9" s="141" t="str">
        <f t="shared" si="1"/>
        <v/>
      </c>
      <c r="H9" s="136"/>
      <c r="I9" s="274"/>
      <c r="J9" s="141" t="str">
        <f t="shared" si="2"/>
        <v/>
      </c>
      <c r="K9" s="102"/>
      <c r="L9" s="458"/>
      <c r="M9" s="459"/>
      <c r="N9" s="316" t="str">
        <f t="shared" si="3"/>
        <v/>
      </c>
      <c r="O9" s="234" t="str">
        <f>IF(OR(ISBLANK($D9),ISBLANK($K9)),"",IF(LEFT($D9,18)="Short-term blended",IF($F9&lt;15,Ceilings!$S$6*$F9,Ceilings!$S$6*14+Ceilings!$S$7*($F9-14)),IF(LEFT($D9,18)="Short-term joint s",IF($F9&lt;15,Ceilings!$S$3*$F9,Ceilings!$S$3*14+Ceilings!$S$4*($F9-14)),VLOOKUP($K9,Subsistence,2,0)*14+VLOOKUP($K9,Subsistence,3,0)*46+IF($F9&gt;60,VLOOKUP($K9,Subsistence,4,0)*($F9-60),0))))</f>
        <v/>
      </c>
      <c r="P9" s="235" t="str">
        <f>IF(OR(ISBLANK(D9),ISBLANK(H9),ISBLANK(K9)),"",IF(I9&lt;15,Ceilings!$S$3*I9,Ceilings!$S$3*14+Ceilings!$S$4*(I9-14)))</f>
        <v/>
      </c>
      <c r="Q9" s="233" t="str">
        <f t="shared" si="4"/>
        <v/>
      </c>
      <c r="R9" s="136"/>
      <c r="S9" s="333" t="str">
        <f>IF(OR(ISBLANK($D9),ISBLANK($K9),ISBLANK(R9)),"",Ceilings!$V$3*R9)</f>
        <v/>
      </c>
      <c r="T9" s="93" t="str">
        <f t="shared" si="0"/>
        <v/>
      </c>
    </row>
    <row r="10" spans="1:259" ht="15.75" customHeight="1">
      <c r="A10" s="32"/>
      <c r="B10" s="72" t="str">
        <f>IF(ISBLANK(A10),"",VLOOKUP(A10,Management!$A$11:$C$25,2,0))</f>
        <v/>
      </c>
      <c r="C10" s="60"/>
      <c r="D10" s="79"/>
      <c r="E10" s="60"/>
      <c r="F10" s="274"/>
      <c r="G10" s="141" t="str">
        <f t="shared" si="1"/>
        <v/>
      </c>
      <c r="H10" s="136"/>
      <c r="I10" s="274"/>
      <c r="J10" s="141" t="str">
        <f t="shared" si="2"/>
        <v/>
      </c>
      <c r="K10" s="102"/>
      <c r="L10" s="458"/>
      <c r="M10" s="459"/>
      <c r="N10" s="316" t="str">
        <f t="shared" si="3"/>
        <v/>
      </c>
      <c r="O10" s="234" t="str">
        <f>IF(OR(ISBLANK($D10),ISBLANK($K10)),"",IF(LEFT($D10,18)="Short-term blended",IF($F10&lt;15,Ceilings!$S$6*$F10,Ceilings!$S$6*14+Ceilings!$S$7*($F10-14)),IF(LEFT($D10,18)="Short-term joint s",IF($F10&lt;15,Ceilings!$S$3*$F10,Ceilings!$S$3*14+Ceilings!$S$4*($F10-14)),VLOOKUP($K10,Subsistence,2,0)*14+VLOOKUP($K10,Subsistence,3,0)*46+IF($F10&gt;60,VLOOKUP($K10,Subsistence,4,0)*($F10-60),0))))</f>
        <v/>
      </c>
      <c r="P10" s="235" t="str">
        <f>IF(OR(ISBLANK(D10),ISBLANK(H10),ISBLANK(K10)),"",IF(I10&lt;15,Ceilings!$S$3*I10,Ceilings!$S$3*14+Ceilings!$S$4*(I10-14)))</f>
        <v/>
      </c>
      <c r="Q10" s="233" t="str">
        <f t="shared" si="4"/>
        <v/>
      </c>
      <c r="R10" s="136"/>
      <c r="S10" s="333" t="str">
        <f>IF(OR(ISBLANK($D10),ISBLANK($K10),ISBLANK(R10)),"",Ceilings!$V$3*R10)</f>
        <v/>
      </c>
      <c r="T10" s="93" t="str">
        <f t="shared" si="0"/>
        <v/>
      </c>
    </row>
    <row r="11" spans="1:259" ht="15.75" customHeight="1">
      <c r="A11" s="32"/>
      <c r="B11" s="72" t="str">
        <f>IF(ISBLANK(A11),"",VLOOKUP(A11,Management!$A$11:$C$25,2,0))</f>
        <v/>
      </c>
      <c r="C11" s="60"/>
      <c r="D11" s="79"/>
      <c r="E11" s="60"/>
      <c r="F11" s="274"/>
      <c r="G11" s="141" t="str">
        <f t="shared" si="1"/>
        <v/>
      </c>
      <c r="H11" s="136"/>
      <c r="I11" s="274"/>
      <c r="J11" s="141" t="str">
        <f t="shared" si="2"/>
        <v/>
      </c>
      <c r="K11" s="102"/>
      <c r="L11" s="458"/>
      <c r="M11" s="459"/>
      <c r="N11" s="316" t="str">
        <f t="shared" si="3"/>
        <v/>
      </c>
      <c r="O11" s="234" t="str">
        <f>IF(OR(ISBLANK($D11),ISBLANK($K11)),"",IF(LEFT($D11,18)="Short-term blended",IF($F11&lt;15,Ceilings!$S$6*$F11,Ceilings!$S$6*14+Ceilings!$S$7*($F11-14)),IF(LEFT($D11,18)="Short-term joint s",IF($F11&lt;15,Ceilings!$S$3*$F11,Ceilings!$S$3*14+Ceilings!$S$4*($F11-14)),VLOOKUP($K11,Subsistence,2,0)*14+VLOOKUP($K11,Subsistence,3,0)*46+IF($F11&gt;60,VLOOKUP($K11,Subsistence,4,0)*($F11-60),0))))</f>
        <v/>
      </c>
      <c r="P11" s="235" t="str">
        <f>IF(OR(ISBLANK(D11),ISBLANK(H11),ISBLANK(K11)),"",IF(I11&lt;15,Ceilings!$S$3*I11,Ceilings!$S$3*14+Ceilings!$S$4*(I11-14)))</f>
        <v/>
      </c>
      <c r="Q11" s="233" t="str">
        <f t="shared" si="4"/>
        <v/>
      </c>
      <c r="R11" s="136"/>
      <c r="S11" s="333" t="str">
        <f>IF(OR(ISBLANK($D11),ISBLANK($K11),ISBLANK(R11)),"",Ceilings!$V$3*R11)</f>
        <v/>
      </c>
      <c r="T11" s="93" t="str">
        <f t="shared" si="0"/>
        <v/>
      </c>
    </row>
    <row r="12" spans="1:259" ht="15.75" customHeight="1">
      <c r="A12" s="32"/>
      <c r="B12" s="72" t="str">
        <f>IF(ISBLANK(A12),"",VLOOKUP(A12,Management!$A$11:$C$25,2,0))</f>
        <v/>
      </c>
      <c r="C12" s="60"/>
      <c r="D12" s="79"/>
      <c r="E12" s="60"/>
      <c r="F12" s="274"/>
      <c r="G12" s="141" t="str">
        <f t="shared" si="1"/>
        <v/>
      </c>
      <c r="H12" s="136"/>
      <c r="I12" s="274"/>
      <c r="J12" s="141" t="str">
        <f t="shared" si="2"/>
        <v/>
      </c>
      <c r="K12" s="102"/>
      <c r="L12" s="458"/>
      <c r="M12" s="459"/>
      <c r="N12" s="316" t="str">
        <f t="shared" si="3"/>
        <v/>
      </c>
      <c r="O12" s="234" t="str">
        <f>IF(OR(ISBLANK($D12),ISBLANK($K12)),"",IF(LEFT($D12,18)="Short-term blended",IF($F12&lt;15,Ceilings!$S$6*$F12,Ceilings!$S$6*14+Ceilings!$S$7*($F12-14)),IF(LEFT($D12,18)="Short-term joint s",IF($F12&lt;15,Ceilings!$S$3*$F12,Ceilings!$S$3*14+Ceilings!$S$4*($F12-14)),VLOOKUP($K12,Subsistence,2,0)*14+VLOOKUP($K12,Subsistence,3,0)*46+IF($F12&gt;60,VLOOKUP($K12,Subsistence,4,0)*($F12-60),0))))</f>
        <v/>
      </c>
      <c r="P12" s="235" t="str">
        <f>IF(OR(ISBLANK(D12),ISBLANK(H12),ISBLANK(K12)),"",IF(I12&lt;15,Ceilings!$S$3*I12,Ceilings!$S$3*14+Ceilings!$S$4*(I12-14)))</f>
        <v/>
      </c>
      <c r="Q12" s="233" t="str">
        <f t="shared" si="4"/>
        <v/>
      </c>
      <c r="R12" s="136"/>
      <c r="S12" s="333" t="str">
        <f>IF(OR(ISBLANK($D12),ISBLANK($K12),ISBLANK(R12)),"",Ceilings!$V$3*R12)</f>
        <v/>
      </c>
      <c r="T12" s="93" t="str">
        <f t="shared" si="0"/>
        <v/>
      </c>
    </row>
    <row r="13" spans="1:259" ht="15.75" customHeight="1">
      <c r="A13" s="32"/>
      <c r="B13" s="72" t="str">
        <f>IF(ISBLANK(A13),"",VLOOKUP(A13,Management!$A$11:$C$25,2,0))</f>
        <v/>
      </c>
      <c r="C13" s="60"/>
      <c r="D13" s="79"/>
      <c r="E13" s="60"/>
      <c r="F13" s="274"/>
      <c r="G13" s="141" t="str">
        <f t="shared" si="1"/>
        <v/>
      </c>
      <c r="H13" s="136"/>
      <c r="I13" s="274"/>
      <c r="J13" s="141" t="str">
        <f t="shared" si="2"/>
        <v/>
      </c>
      <c r="K13" s="102"/>
      <c r="L13" s="458"/>
      <c r="M13" s="459"/>
      <c r="N13" s="316" t="str">
        <f t="shared" si="3"/>
        <v/>
      </c>
      <c r="O13" s="234" t="str">
        <f>IF(OR(ISBLANK($D13),ISBLANK($K13)),"",IF(LEFT($D13,18)="Short-term blended",IF($F13&lt;15,Ceilings!$S$6*$F13,Ceilings!$S$6*14+Ceilings!$S$7*($F13-14)),IF(LEFT($D13,18)="Short-term joint s",IF($F13&lt;15,Ceilings!$S$3*$F13,Ceilings!$S$3*14+Ceilings!$S$4*($F13-14)),VLOOKUP($K13,Subsistence,2,0)*14+VLOOKUP($K13,Subsistence,3,0)*46+IF($F13&gt;60,VLOOKUP($K13,Subsistence,4,0)*($F13-60),0))))</f>
        <v/>
      </c>
      <c r="P13" s="235" t="str">
        <f>IF(OR(ISBLANK(D13),ISBLANK(H13),ISBLANK(K13)),"",IF(I13&lt;15,Ceilings!$S$3*I13,Ceilings!$S$3*14+Ceilings!$S$4*(I13-14)))</f>
        <v/>
      </c>
      <c r="Q13" s="233" t="str">
        <f t="shared" si="4"/>
        <v/>
      </c>
      <c r="R13" s="136"/>
      <c r="S13" s="333" t="str">
        <f>IF(OR(ISBLANK($D13),ISBLANK($K13),ISBLANK(R13)),"",Ceilings!$V$3*R13)</f>
        <v/>
      </c>
      <c r="T13" s="93" t="str">
        <f t="shared" si="0"/>
        <v/>
      </c>
    </row>
    <row r="14" spans="1:259" ht="15.75" customHeight="1">
      <c r="A14" s="32"/>
      <c r="B14" s="72" t="str">
        <f>IF(ISBLANK(A14),"",VLOOKUP(A14,Management!$A$11:$C$25,2,0))</f>
        <v/>
      </c>
      <c r="C14" s="60"/>
      <c r="D14" s="79"/>
      <c r="E14" s="60"/>
      <c r="F14" s="274"/>
      <c r="G14" s="141" t="str">
        <f t="shared" si="1"/>
        <v/>
      </c>
      <c r="H14" s="136"/>
      <c r="I14" s="274"/>
      <c r="J14" s="141" t="str">
        <f t="shared" si="2"/>
        <v/>
      </c>
      <c r="K14" s="102"/>
      <c r="L14" s="458"/>
      <c r="M14" s="459"/>
      <c r="N14" s="316" t="str">
        <f t="shared" si="3"/>
        <v/>
      </c>
      <c r="O14" s="234" t="str">
        <f>IF(OR(ISBLANK($D14),ISBLANK($K14)),"",IF(LEFT($D14,18)="Short-term blended",IF($F14&lt;15,Ceilings!$S$6*$F14,Ceilings!$S$6*14+Ceilings!$S$7*($F14-14)),IF(LEFT($D14,18)="Short-term joint s",IF($F14&lt;15,Ceilings!$S$3*$F14,Ceilings!$S$3*14+Ceilings!$S$4*($F14-14)),VLOOKUP($K14,Subsistence,2,0)*14+VLOOKUP($K14,Subsistence,3,0)*46+IF($F14&gt;60,VLOOKUP($K14,Subsistence,4,0)*($F14-60),0))))</f>
        <v/>
      </c>
      <c r="P14" s="235" t="str">
        <f>IF(OR(ISBLANK(D14),ISBLANK(H14),ISBLANK(K14)),"",IF(I14&lt;15,Ceilings!$S$3*I14,Ceilings!$S$3*14+Ceilings!$S$4*(I14-14)))</f>
        <v/>
      </c>
      <c r="Q14" s="233" t="str">
        <f t="shared" si="4"/>
        <v/>
      </c>
      <c r="R14" s="136"/>
      <c r="S14" s="333" t="str">
        <f>IF(OR(ISBLANK($D14),ISBLANK($K14),ISBLANK(R14)),"",Ceilings!$V$3*R14)</f>
        <v/>
      </c>
      <c r="T14" s="93" t="str">
        <f t="shared" si="0"/>
        <v/>
      </c>
    </row>
    <row r="15" spans="1:259" ht="15.75" customHeight="1">
      <c r="A15" s="32"/>
      <c r="B15" s="72" t="str">
        <f>IF(ISBLANK(A15),"",VLOOKUP(A15,Management!$A$11:$C$25,2,0))</f>
        <v/>
      </c>
      <c r="C15" s="60"/>
      <c r="D15" s="79"/>
      <c r="E15" s="60"/>
      <c r="F15" s="274"/>
      <c r="G15" s="141" t="str">
        <f t="shared" si="1"/>
        <v/>
      </c>
      <c r="H15" s="136"/>
      <c r="I15" s="274"/>
      <c r="J15" s="141" t="str">
        <f t="shared" si="2"/>
        <v/>
      </c>
      <c r="K15" s="102"/>
      <c r="L15" s="458"/>
      <c r="M15" s="459"/>
      <c r="N15" s="316" t="str">
        <f t="shared" si="3"/>
        <v/>
      </c>
      <c r="O15" s="234" t="str">
        <f>IF(OR(ISBLANK($D15),ISBLANK($K15)),"",IF(LEFT($D15,18)="Short-term blended",IF($F15&lt;15,Ceilings!$S$6*$F15,Ceilings!$S$6*14+Ceilings!$S$7*($F15-14)),IF(LEFT($D15,18)="Short-term joint s",IF($F15&lt;15,Ceilings!$S$3*$F15,Ceilings!$S$3*14+Ceilings!$S$4*($F15-14)),VLOOKUP($K15,Subsistence,2,0)*14+VLOOKUP($K15,Subsistence,3,0)*46+IF($F15&gt;60,VLOOKUP($K15,Subsistence,4,0)*($F15-60),0))))</f>
        <v/>
      </c>
      <c r="P15" s="235" t="str">
        <f>IF(OR(ISBLANK(D15),ISBLANK(H15),ISBLANK(K15)),"",IF(I15&lt;15,Ceilings!$S$3*I15,Ceilings!$S$3*14+Ceilings!$S$4*(I15-14)))</f>
        <v/>
      </c>
      <c r="Q15" s="233" t="str">
        <f t="shared" si="4"/>
        <v/>
      </c>
      <c r="R15" s="136"/>
      <c r="S15" s="333" t="str">
        <f>IF(OR(ISBLANK($D15),ISBLANK($K15),ISBLANK(R15)),"",Ceilings!$V$3*R15)</f>
        <v/>
      </c>
      <c r="T15" s="93" t="str">
        <f t="shared" si="0"/>
        <v/>
      </c>
    </row>
    <row r="16" spans="1:259" ht="15.75" customHeight="1">
      <c r="A16" s="32"/>
      <c r="B16" s="72" t="str">
        <f>IF(ISBLANK(A16),"",VLOOKUP(A16,Management!$A$11:$C$25,2,0))</f>
        <v/>
      </c>
      <c r="C16" s="60"/>
      <c r="D16" s="79"/>
      <c r="E16" s="60"/>
      <c r="F16" s="274"/>
      <c r="G16" s="141" t="str">
        <f t="shared" si="1"/>
        <v/>
      </c>
      <c r="H16" s="136"/>
      <c r="I16" s="274"/>
      <c r="J16" s="141" t="str">
        <f t="shared" si="2"/>
        <v/>
      </c>
      <c r="K16" s="102"/>
      <c r="L16" s="458"/>
      <c r="M16" s="459"/>
      <c r="N16" s="316" t="str">
        <f t="shared" si="3"/>
        <v/>
      </c>
      <c r="O16" s="234" t="str">
        <f>IF(OR(ISBLANK($D16),ISBLANK($K16)),"",IF(LEFT($D16,18)="Short-term blended",IF($F16&lt;15,Ceilings!$S$6*$F16,Ceilings!$S$6*14+Ceilings!$S$7*($F16-14)),IF(LEFT($D16,18)="Short-term joint s",IF($F16&lt;15,Ceilings!$S$3*$F16,Ceilings!$S$3*14+Ceilings!$S$4*($F16-14)),VLOOKUP($K16,Subsistence,2,0)*14+VLOOKUP($K16,Subsistence,3,0)*46+IF($F16&gt;60,VLOOKUP($K16,Subsistence,4,0)*($F16-60),0))))</f>
        <v/>
      </c>
      <c r="P16" s="235" t="str">
        <f>IF(OR(ISBLANK(D16),ISBLANK(H16),ISBLANK(K16)),"",IF(I16&lt;15,Ceilings!$S$3*I16,Ceilings!$S$3*14+Ceilings!$S$4*(I16-14)))</f>
        <v/>
      </c>
      <c r="Q16" s="233" t="str">
        <f t="shared" si="4"/>
        <v/>
      </c>
      <c r="R16" s="136"/>
      <c r="S16" s="333" t="str">
        <f>IF(OR(ISBLANK($D16),ISBLANK($K16),ISBLANK(R16)),"",Ceilings!$V$3*R16)</f>
        <v/>
      </c>
      <c r="T16" s="93" t="str">
        <f t="shared" si="0"/>
        <v/>
      </c>
    </row>
    <row r="17" spans="1:20" ht="15.75" customHeight="1">
      <c r="A17" s="32"/>
      <c r="B17" s="72" t="str">
        <f>IF(ISBLANK(A17),"",VLOOKUP(A17,Management!$A$11:$C$25,2,0))</f>
        <v/>
      </c>
      <c r="C17" s="60"/>
      <c r="D17" s="79"/>
      <c r="E17" s="60"/>
      <c r="F17" s="274"/>
      <c r="G17" s="141" t="str">
        <f t="shared" si="1"/>
        <v/>
      </c>
      <c r="H17" s="136"/>
      <c r="I17" s="274"/>
      <c r="J17" s="141" t="str">
        <f t="shared" si="2"/>
        <v/>
      </c>
      <c r="K17" s="102"/>
      <c r="L17" s="458"/>
      <c r="M17" s="459"/>
      <c r="N17" s="316" t="str">
        <f t="shared" si="3"/>
        <v/>
      </c>
      <c r="O17" s="234" t="str">
        <f>IF(OR(ISBLANK($D17),ISBLANK($K17)),"",IF(LEFT($D17,18)="Short-term blended",IF($F17&lt;15,Ceilings!$S$6*$F17,Ceilings!$S$6*14+Ceilings!$S$7*($F17-14)),IF(LEFT($D17,18)="Short-term joint s",IF($F17&lt;15,Ceilings!$S$3*$F17,Ceilings!$S$3*14+Ceilings!$S$4*($F17-14)),VLOOKUP($K17,Subsistence,2,0)*14+VLOOKUP($K17,Subsistence,3,0)*46+IF($F17&gt;60,VLOOKUP($K17,Subsistence,4,0)*($F17-60),0))))</f>
        <v/>
      </c>
      <c r="P17" s="235" t="str">
        <f>IF(OR(ISBLANK(D17),ISBLANK(H17),ISBLANK(K17)),"",IF(I17&lt;15,Ceilings!$S$3*I17,Ceilings!$S$3*14+Ceilings!$S$4*(I17-14)))</f>
        <v/>
      </c>
      <c r="Q17" s="233" t="str">
        <f t="shared" si="4"/>
        <v/>
      </c>
      <c r="R17" s="136"/>
      <c r="S17" s="333" t="str">
        <f>IF(OR(ISBLANK($D17),ISBLANK($K17),ISBLANK(R17)),"",Ceilings!$V$3*R17)</f>
        <v/>
      </c>
      <c r="T17" s="93" t="str">
        <f t="shared" si="0"/>
        <v/>
      </c>
    </row>
    <row r="18" spans="1:20" ht="15.75" customHeight="1">
      <c r="A18" s="32"/>
      <c r="B18" s="72" t="str">
        <f>IF(ISBLANK(A18),"",VLOOKUP(A18,Management!$A$11:$C$25,2,0))</f>
        <v/>
      </c>
      <c r="C18" s="60"/>
      <c r="D18" s="79"/>
      <c r="E18" s="60"/>
      <c r="F18" s="274"/>
      <c r="G18" s="141" t="str">
        <f t="shared" si="1"/>
        <v/>
      </c>
      <c r="H18" s="136"/>
      <c r="I18" s="274"/>
      <c r="J18" s="141" t="str">
        <f t="shared" si="2"/>
        <v/>
      </c>
      <c r="K18" s="102"/>
      <c r="L18" s="458"/>
      <c r="M18" s="459"/>
      <c r="N18" s="316" t="str">
        <f t="shared" si="3"/>
        <v/>
      </c>
      <c r="O18" s="234" t="str">
        <f>IF(OR(ISBLANK($D18),ISBLANK($K18)),"",IF(LEFT($D18,18)="Short-term blended",IF($F18&lt;15,Ceilings!$S$6*$F18,Ceilings!$S$6*14+Ceilings!$S$7*($F18-14)),IF(LEFT($D18,18)="Short-term joint s",IF($F18&lt;15,Ceilings!$S$3*$F18,Ceilings!$S$3*14+Ceilings!$S$4*($F18-14)),VLOOKUP($K18,Subsistence,2,0)*14+VLOOKUP($K18,Subsistence,3,0)*46+IF($F18&gt;60,VLOOKUP($K18,Subsistence,4,0)*($F18-60),0))))</f>
        <v/>
      </c>
      <c r="P18" s="235" t="str">
        <f>IF(OR(ISBLANK(D18),ISBLANK(H18),ISBLANK(K18)),"",IF(I18&lt;15,Ceilings!$S$3*I18,Ceilings!$S$3*14+Ceilings!$S$4*(I18-14)))</f>
        <v/>
      </c>
      <c r="Q18" s="233" t="str">
        <f t="shared" si="4"/>
        <v/>
      </c>
      <c r="R18" s="136"/>
      <c r="S18" s="333" t="str">
        <f>IF(OR(ISBLANK($D18),ISBLANK($K18),ISBLANK(R18)),"",Ceilings!$V$3*R18)</f>
        <v/>
      </c>
      <c r="T18" s="93" t="str">
        <f t="shared" si="0"/>
        <v/>
      </c>
    </row>
    <row r="19" spans="1:20" ht="15.75" customHeight="1">
      <c r="A19" s="32"/>
      <c r="B19" s="72" t="str">
        <f>IF(ISBLANK(A19),"",VLOOKUP(A19,Management!$A$11:$C$25,2,0))</f>
        <v/>
      </c>
      <c r="C19" s="60"/>
      <c r="D19" s="79"/>
      <c r="E19" s="60"/>
      <c r="F19" s="274"/>
      <c r="G19" s="141" t="str">
        <f t="shared" si="1"/>
        <v/>
      </c>
      <c r="H19" s="136"/>
      <c r="I19" s="274"/>
      <c r="J19" s="141" t="str">
        <f t="shared" si="2"/>
        <v/>
      </c>
      <c r="K19" s="102"/>
      <c r="L19" s="458"/>
      <c r="M19" s="459"/>
      <c r="N19" s="316" t="str">
        <f t="shared" si="3"/>
        <v/>
      </c>
      <c r="O19" s="234" t="str">
        <f>IF(OR(ISBLANK($D19),ISBLANK($K19)),"",IF(LEFT($D19,18)="Short-term blended",IF($F19&lt;15,Ceilings!$S$6*$F19,Ceilings!$S$6*14+Ceilings!$S$7*($F19-14)),IF(LEFT($D19,18)="Short-term joint s",IF($F19&lt;15,Ceilings!$S$3*$F19,Ceilings!$S$3*14+Ceilings!$S$4*($F19-14)),VLOOKUP($K19,Subsistence,2,0)*14+VLOOKUP($K19,Subsistence,3,0)*46+IF($F19&gt;60,VLOOKUP($K19,Subsistence,4,0)*($F19-60),0))))</f>
        <v/>
      </c>
      <c r="P19" s="235" t="str">
        <f>IF(OR(ISBLANK(D19),ISBLANK(H19),ISBLANK(K19)),"",IF(I19&lt;15,Ceilings!$S$3*I19,Ceilings!$S$3*14+Ceilings!$S$4*(I19-14)))</f>
        <v/>
      </c>
      <c r="Q19" s="233" t="str">
        <f t="shared" si="4"/>
        <v/>
      </c>
      <c r="R19" s="136"/>
      <c r="S19" s="333" t="str">
        <f>IF(OR(ISBLANK($D19),ISBLANK($K19),ISBLANK(R19)),"",Ceilings!$V$3*R19)</f>
        <v/>
      </c>
      <c r="T19" s="93" t="str">
        <f t="shared" si="0"/>
        <v/>
      </c>
    </row>
    <row r="20" spans="1:20" ht="15.75" customHeight="1">
      <c r="A20" s="32"/>
      <c r="B20" s="72" t="str">
        <f>IF(ISBLANK(A20),"",VLOOKUP(A20,Management!$A$11:$C$25,2,0))</f>
        <v/>
      </c>
      <c r="C20" s="60"/>
      <c r="D20" s="79"/>
      <c r="E20" s="60"/>
      <c r="F20" s="274"/>
      <c r="G20" s="141" t="str">
        <f t="shared" si="1"/>
        <v/>
      </c>
      <c r="H20" s="136"/>
      <c r="I20" s="274"/>
      <c r="J20" s="141" t="str">
        <f t="shared" si="2"/>
        <v/>
      </c>
      <c r="K20" s="102"/>
      <c r="L20" s="458"/>
      <c r="M20" s="459"/>
      <c r="N20" s="316" t="str">
        <f t="shared" si="3"/>
        <v/>
      </c>
      <c r="O20" s="234" t="str">
        <f>IF(OR(ISBLANK($D20),ISBLANK($K20)),"",IF(LEFT($D20,18)="Short-term blended",IF($F20&lt;15,Ceilings!$S$6*$F20,Ceilings!$S$6*14+Ceilings!$S$7*($F20-14)),IF(LEFT($D20,18)="Short-term joint s",IF($F20&lt;15,Ceilings!$S$3*$F20,Ceilings!$S$3*14+Ceilings!$S$4*($F20-14)),VLOOKUP($K20,Subsistence,2,0)*14+VLOOKUP($K20,Subsistence,3,0)*46+IF($F20&gt;60,VLOOKUP($K20,Subsistence,4,0)*($F20-60),0))))</f>
        <v/>
      </c>
      <c r="P20" s="235" t="str">
        <f>IF(OR(ISBLANK(D20),ISBLANK(H20),ISBLANK(K20)),"",IF(I20&lt;15,Ceilings!$S$3*I20,Ceilings!$S$3*14+Ceilings!$S$4*(I20-14)))</f>
        <v/>
      </c>
      <c r="Q20" s="233" t="str">
        <f t="shared" si="4"/>
        <v/>
      </c>
      <c r="R20" s="136"/>
      <c r="S20" s="333" t="str">
        <f>IF(OR(ISBLANK($D20),ISBLANK($K20),ISBLANK(R20)),"",Ceilings!$V$3*R20)</f>
        <v/>
      </c>
      <c r="T20" s="93" t="str">
        <f t="shared" si="0"/>
        <v/>
      </c>
    </row>
    <row r="21" spans="1:20" ht="15.75" customHeight="1">
      <c r="A21" s="32"/>
      <c r="B21" s="72" t="str">
        <f>IF(ISBLANK(A21),"",VLOOKUP(A21,Management!$A$11:$C$25,2,0))</f>
        <v/>
      </c>
      <c r="C21" s="60"/>
      <c r="D21" s="79"/>
      <c r="E21" s="60"/>
      <c r="F21" s="274"/>
      <c r="G21" s="141" t="str">
        <f t="shared" si="1"/>
        <v/>
      </c>
      <c r="H21" s="136"/>
      <c r="I21" s="274"/>
      <c r="J21" s="141" t="str">
        <f t="shared" si="2"/>
        <v/>
      </c>
      <c r="K21" s="102"/>
      <c r="L21" s="458"/>
      <c r="M21" s="459"/>
      <c r="N21" s="316" t="str">
        <f t="shared" si="3"/>
        <v/>
      </c>
      <c r="O21" s="234" t="str">
        <f>IF(OR(ISBLANK($D21),ISBLANK($K21)),"",IF(LEFT($D21,18)="Short-term blended",IF($F21&lt;15,Ceilings!$S$6*$F21,Ceilings!$S$6*14+Ceilings!$S$7*($F21-14)),IF(LEFT($D21,18)="Short-term joint s",IF($F21&lt;15,Ceilings!$S$3*$F21,Ceilings!$S$3*14+Ceilings!$S$4*($F21-14)),VLOOKUP($K21,Subsistence,2,0)*14+VLOOKUP($K21,Subsistence,3,0)*46+IF($F21&gt;60,VLOOKUP($K21,Subsistence,4,0)*($F21-60),0))))</f>
        <v/>
      </c>
      <c r="P21" s="235" t="str">
        <f>IF(OR(ISBLANK(D21),ISBLANK(H21),ISBLANK(K21)),"",IF(I21&lt;15,Ceilings!$S$3*I21,Ceilings!$S$3*14+Ceilings!$S$4*(I21-14)))</f>
        <v/>
      </c>
      <c r="Q21" s="233" t="str">
        <f t="shared" si="4"/>
        <v/>
      </c>
      <c r="R21" s="136"/>
      <c r="S21" s="333" t="str">
        <f>IF(OR(ISBLANK($D21),ISBLANK($K21),ISBLANK(R21)),"",Ceilings!$V$3*R21)</f>
        <v/>
      </c>
      <c r="T21" s="93" t="str">
        <f t="shared" si="0"/>
        <v/>
      </c>
    </row>
    <row r="22" spans="1:20" ht="15.75" customHeight="1">
      <c r="A22" s="32"/>
      <c r="B22" s="72" t="str">
        <f>IF(ISBLANK(A22),"",VLOOKUP(A22,Management!$A$11:$C$25,2,0))</f>
        <v/>
      </c>
      <c r="C22" s="60"/>
      <c r="D22" s="79"/>
      <c r="E22" s="60"/>
      <c r="F22" s="274"/>
      <c r="G22" s="141" t="str">
        <f t="shared" si="1"/>
        <v/>
      </c>
      <c r="H22" s="136"/>
      <c r="I22" s="274"/>
      <c r="J22" s="141" t="str">
        <f t="shared" si="2"/>
        <v/>
      </c>
      <c r="K22" s="102"/>
      <c r="L22" s="458"/>
      <c r="M22" s="459"/>
      <c r="N22" s="316" t="str">
        <f t="shared" si="3"/>
        <v/>
      </c>
      <c r="O22" s="234" t="str">
        <f>IF(OR(ISBLANK($D22),ISBLANK($K22)),"",IF(LEFT($D22,18)="Short-term blended",IF($F22&lt;15,Ceilings!$S$6*$F22,Ceilings!$S$6*14+Ceilings!$S$7*($F22-14)),IF(LEFT($D22,18)="Short-term joint s",IF($F22&lt;15,Ceilings!$S$3*$F22,Ceilings!$S$3*14+Ceilings!$S$4*($F22-14)),VLOOKUP($K22,Subsistence,2,0)*14+VLOOKUP($K22,Subsistence,3,0)*46+IF($F22&gt;60,VLOOKUP($K22,Subsistence,4,0)*($F22-60),0))))</f>
        <v/>
      </c>
      <c r="P22" s="235" t="str">
        <f>IF(OR(ISBLANK(D22),ISBLANK(H22),ISBLANK(K22)),"",IF(I22&lt;15,Ceilings!$S$3*I22,Ceilings!$S$3*14+Ceilings!$S$4*(I22-14)))</f>
        <v/>
      </c>
      <c r="Q22" s="233" t="str">
        <f t="shared" si="4"/>
        <v/>
      </c>
      <c r="R22" s="136"/>
      <c r="S22" s="333" t="str">
        <f>IF(OR(ISBLANK($D22),ISBLANK($K22),ISBLANK(R22)),"",Ceilings!$V$3*R22)</f>
        <v/>
      </c>
      <c r="T22" s="93" t="str">
        <f t="shared" si="0"/>
        <v/>
      </c>
    </row>
    <row r="23" spans="1:20" ht="15.75" customHeight="1">
      <c r="A23" s="32"/>
      <c r="B23" s="72" t="str">
        <f>IF(ISBLANK(A23),"",VLOOKUP(A23,Management!$A$11:$C$25,2,0))</f>
        <v/>
      </c>
      <c r="C23" s="60"/>
      <c r="D23" s="79"/>
      <c r="E23" s="60"/>
      <c r="F23" s="274"/>
      <c r="G23" s="141" t="str">
        <f t="shared" si="1"/>
        <v/>
      </c>
      <c r="H23" s="136"/>
      <c r="I23" s="274"/>
      <c r="J23" s="141" t="str">
        <f t="shared" si="2"/>
        <v/>
      </c>
      <c r="K23" s="102"/>
      <c r="L23" s="458"/>
      <c r="M23" s="459"/>
      <c r="N23" s="316" t="str">
        <f t="shared" si="3"/>
        <v/>
      </c>
      <c r="O23" s="234" t="str">
        <f>IF(OR(ISBLANK($D23),ISBLANK($K23)),"",IF(LEFT($D23,18)="Short-term blended",IF($F23&lt;15,Ceilings!$S$6*$F23,Ceilings!$S$6*14+Ceilings!$S$7*($F23-14)),IF(LEFT($D23,18)="Short-term joint s",IF($F23&lt;15,Ceilings!$S$3*$F23,Ceilings!$S$3*14+Ceilings!$S$4*($F23-14)),VLOOKUP($K23,Subsistence,2,0)*14+VLOOKUP($K23,Subsistence,3,0)*46+IF($F23&gt;60,VLOOKUP($K23,Subsistence,4,0)*($F23-60),0))))</f>
        <v/>
      </c>
      <c r="P23" s="235" t="str">
        <f>IF(OR(ISBLANK(D23),ISBLANK(H23),ISBLANK(K23)),"",IF(I23&lt;15,Ceilings!$S$3*I23,Ceilings!$S$3*14+Ceilings!$S$4*(I23-14)))</f>
        <v/>
      </c>
      <c r="Q23" s="233" t="str">
        <f t="shared" si="4"/>
        <v/>
      </c>
      <c r="R23" s="136"/>
      <c r="S23" s="333" t="str">
        <f>IF(OR(ISBLANK($D23),ISBLANK($K23),ISBLANK(R23)),"",Ceilings!$V$3*R23)</f>
        <v/>
      </c>
      <c r="T23" s="93" t="str">
        <f t="shared" si="0"/>
        <v/>
      </c>
    </row>
    <row r="24" spans="1:20" ht="15.75" customHeight="1">
      <c r="A24" s="32"/>
      <c r="B24" s="72" t="str">
        <f>IF(ISBLANK(A24),"",VLOOKUP(A24,Management!$A$11:$C$25,2,0))</f>
        <v/>
      </c>
      <c r="C24" s="60"/>
      <c r="D24" s="79"/>
      <c r="E24" s="60"/>
      <c r="F24" s="274"/>
      <c r="G24" s="141" t="str">
        <f t="shared" si="1"/>
        <v/>
      </c>
      <c r="H24" s="136"/>
      <c r="I24" s="274"/>
      <c r="J24" s="141" t="str">
        <f t="shared" si="2"/>
        <v/>
      </c>
      <c r="K24" s="102"/>
      <c r="L24" s="458"/>
      <c r="M24" s="459"/>
      <c r="N24" s="316" t="str">
        <f t="shared" si="3"/>
        <v/>
      </c>
      <c r="O24" s="234" t="str">
        <f>IF(OR(ISBLANK($D24),ISBLANK($K24)),"",IF(LEFT($D24,18)="Short-term blended",IF($F24&lt;15,Ceilings!$S$6*$F24,Ceilings!$S$6*14+Ceilings!$S$7*($F24-14)),IF(LEFT($D24,18)="Short-term joint s",IF($F24&lt;15,Ceilings!$S$3*$F24,Ceilings!$S$3*14+Ceilings!$S$4*($F24-14)),VLOOKUP($K24,Subsistence,2,0)*14+VLOOKUP($K24,Subsistence,3,0)*46+IF($F24&gt;60,VLOOKUP($K24,Subsistence,4,0)*($F24-60),0))))</f>
        <v/>
      </c>
      <c r="P24" s="235" t="str">
        <f>IF(OR(ISBLANK(D24),ISBLANK(H24),ISBLANK(K24)),"",IF(I24&lt;15,Ceilings!$S$3*I24,Ceilings!$S$3*14+Ceilings!$S$4*(I24-14)))</f>
        <v/>
      </c>
      <c r="Q24" s="233" t="str">
        <f t="shared" si="4"/>
        <v/>
      </c>
      <c r="R24" s="136"/>
      <c r="S24" s="333" t="str">
        <f>IF(OR(ISBLANK($D24),ISBLANK($K24),ISBLANK(R24)),"",Ceilings!$V$3*R24)</f>
        <v/>
      </c>
      <c r="T24" s="93" t="str">
        <f t="shared" si="0"/>
        <v/>
      </c>
    </row>
    <row r="25" spans="1:20" ht="15.75" customHeight="1">
      <c r="A25" s="32"/>
      <c r="B25" s="72" t="str">
        <f>IF(ISBLANK(A25),"",VLOOKUP(A25,Management!$A$11:$C$25,2,0))</f>
        <v/>
      </c>
      <c r="C25" s="60"/>
      <c r="D25" s="79"/>
      <c r="E25" s="60"/>
      <c r="F25" s="274"/>
      <c r="G25" s="141" t="str">
        <f t="shared" si="1"/>
        <v/>
      </c>
      <c r="H25" s="136"/>
      <c r="I25" s="274"/>
      <c r="J25" s="141" t="str">
        <f t="shared" si="2"/>
        <v/>
      </c>
      <c r="K25" s="102"/>
      <c r="L25" s="458"/>
      <c r="M25" s="459"/>
      <c r="N25" s="316" t="str">
        <f t="shared" si="3"/>
        <v/>
      </c>
      <c r="O25" s="234" t="str">
        <f>IF(OR(ISBLANK($D25),ISBLANK($K25)),"",IF(LEFT($D25,18)="Short-term blended",IF($F25&lt;15,Ceilings!$S$6*$F25,Ceilings!$S$6*14+Ceilings!$S$7*($F25-14)),IF(LEFT($D25,18)="Short-term joint s",IF($F25&lt;15,Ceilings!$S$3*$F25,Ceilings!$S$3*14+Ceilings!$S$4*($F25-14)),VLOOKUP($K25,Subsistence,2,0)*14+VLOOKUP($K25,Subsistence,3,0)*46+IF($F25&gt;60,VLOOKUP($K25,Subsistence,4,0)*($F25-60),0))))</f>
        <v/>
      </c>
      <c r="P25" s="235" t="str">
        <f>IF(OR(ISBLANK(D25),ISBLANK(H25),ISBLANK(K25)),"",IF(I25&lt;15,Ceilings!$S$3*I25,Ceilings!$S$3*14+Ceilings!$S$4*(I25-14)))</f>
        <v/>
      </c>
      <c r="Q25" s="233" t="str">
        <f t="shared" si="4"/>
        <v/>
      </c>
      <c r="R25" s="136"/>
      <c r="S25" s="333" t="str">
        <f>IF(OR(ISBLANK($D25),ISBLANK($K25),ISBLANK(R25)),"",Ceilings!$V$3*R25)</f>
        <v/>
      </c>
      <c r="T25" s="93" t="str">
        <f t="shared" si="0"/>
        <v/>
      </c>
    </row>
    <row r="26" spans="1:20" ht="15.75" customHeight="1">
      <c r="A26" s="32"/>
      <c r="B26" s="72" t="str">
        <f>IF(ISBLANK(A26),"",VLOOKUP(A26,Management!$A$11:$C$25,2,0))</f>
        <v/>
      </c>
      <c r="C26" s="60"/>
      <c r="D26" s="79"/>
      <c r="E26" s="60"/>
      <c r="F26" s="274"/>
      <c r="G26" s="141" t="str">
        <f t="shared" si="1"/>
        <v/>
      </c>
      <c r="H26" s="136"/>
      <c r="I26" s="274"/>
      <c r="J26" s="141" t="str">
        <f t="shared" si="2"/>
        <v/>
      </c>
      <c r="K26" s="102"/>
      <c r="L26" s="458"/>
      <c r="M26" s="459"/>
      <c r="N26" s="316" t="str">
        <f t="shared" si="3"/>
        <v/>
      </c>
      <c r="O26" s="234" t="str">
        <f>IF(OR(ISBLANK($D26),ISBLANK($K26)),"",IF(LEFT($D26,18)="Short-term blended",IF($F26&lt;15,Ceilings!$S$6*$F26,Ceilings!$S$6*14+Ceilings!$S$7*($F26-14)),IF(LEFT($D26,18)="Short-term joint s",IF($F26&lt;15,Ceilings!$S$3*$F26,Ceilings!$S$3*14+Ceilings!$S$4*($F26-14)),VLOOKUP($K26,Subsistence,2,0)*14+VLOOKUP($K26,Subsistence,3,0)*46+IF($F26&gt;60,VLOOKUP($K26,Subsistence,4,0)*($F26-60),0))))</f>
        <v/>
      </c>
      <c r="P26" s="235" t="str">
        <f>IF(OR(ISBLANK(D26),ISBLANK(H26),ISBLANK(K26)),"",IF(I26&lt;15,Ceilings!$S$3*I26,Ceilings!$S$3*14+Ceilings!$S$4*(I26-14)))</f>
        <v/>
      </c>
      <c r="Q26" s="233" t="str">
        <f t="shared" si="4"/>
        <v/>
      </c>
      <c r="R26" s="136"/>
      <c r="S26" s="333" t="str">
        <f>IF(OR(ISBLANK($D26),ISBLANK($K26),ISBLANK(R26)),"",Ceilings!$V$3*R26)</f>
        <v/>
      </c>
      <c r="T26" s="93" t="str">
        <f t="shared" si="0"/>
        <v/>
      </c>
    </row>
    <row r="27" spans="1:20" ht="15.75" customHeight="1">
      <c r="A27" s="32"/>
      <c r="B27" s="72" t="str">
        <f>IF(ISBLANK(A27),"",VLOOKUP(A27,Management!$A$11:$C$25,2,0))</f>
        <v/>
      </c>
      <c r="C27" s="60"/>
      <c r="D27" s="79"/>
      <c r="E27" s="60"/>
      <c r="F27" s="274"/>
      <c r="G27" s="141" t="str">
        <f t="shared" si="1"/>
        <v/>
      </c>
      <c r="H27" s="136"/>
      <c r="I27" s="274"/>
      <c r="J27" s="141" t="str">
        <f t="shared" si="2"/>
        <v/>
      </c>
      <c r="K27" s="102"/>
      <c r="L27" s="458"/>
      <c r="M27" s="459"/>
      <c r="N27" s="316" t="str">
        <f t="shared" si="3"/>
        <v/>
      </c>
      <c r="O27" s="234" t="str">
        <f>IF(OR(ISBLANK($D27),ISBLANK($K27)),"",IF(LEFT($D27,18)="Short-term blended",IF($F27&lt;15,Ceilings!$S$6*$F27,Ceilings!$S$6*14+Ceilings!$S$7*($F27-14)),IF(LEFT($D27,18)="Short-term joint s",IF($F27&lt;15,Ceilings!$S$3*$F27,Ceilings!$S$3*14+Ceilings!$S$4*($F27-14)),VLOOKUP($K27,Subsistence,2,0)*14+VLOOKUP($K27,Subsistence,3,0)*46+IF($F27&gt;60,VLOOKUP($K27,Subsistence,4,0)*($F27-60),0))))</f>
        <v/>
      </c>
      <c r="P27" s="235" t="str">
        <f>IF(OR(ISBLANK(D27),ISBLANK(H27),ISBLANK(K27)),"",IF(I27&lt;15,Ceilings!$S$3*I27,Ceilings!$S$3*14+Ceilings!$S$4*(I27-14)))</f>
        <v/>
      </c>
      <c r="Q27" s="233" t="str">
        <f t="shared" si="4"/>
        <v/>
      </c>
      <c r="R27" s="136"/>
      <c r="S27" s="333" t="str">
        <f>IF(OR(ISBLANK($D27),ISBLANK($K27),ISBLANK(R27)),"",Ceilings!$V$3*R27)</f>
        <v/>
      </c>
      <c r="T27" s="93" t="str">
        <f t="shared" si="0"/>
        <v/>
      </c>
    </row>
    <row r="28" spans="1:20" ht="15.75" customHeight="1">
      <c r="A28" s="32"/>
      <c r="B28" s="72" t="str">
        <f>IF(ISBLANK(A28),"",VLOOKUP(A28,Management!$A$11:$C$25,2,0))</f>
        <v/>
      </c>
      <c r="C28" s="60"/>
      <c r="D28" s="79"/>
      <c r="E28" s="60"/>
      <c r="F28" s="274"/>
      <c r="G28" s="141" t="str">
        <f t="shared" si="1"/>
        <v/>
      </c>
      <c r="H28" s="136"/>
      <c r="I28" s="274"/>
      <c r="J28" s="141" t="str">
        <f t="shared" si="2"/>
        <v/>
      </c>
      <c r="K28" s="102"/>
      <c r="L28" s="458"/>
      <c r="M28" s="459"/>
      <c r="N28" s="316" t="str">
        <f t="shared" si="3"/>
        <v/>
      </c>
      <c r="O28" s="234" t="str">
        <f>IF(OR(ISBLANK($D28),ISBLANK($K28)),"",IF(LEFT($D28,18)="Short-term blended",IF($F28&lt;15,Ceilings!$S$6*$F28,Ceilings!$S$6*14+Ceilings!$S$7*($F28-14)),IF(LEFT($D28,18)="Short-term joint s",IF($F28&lt;15,Ceilings!$S$3*$F28,Ceilings!$S$3*14+Ceilings!$S$4*($F28-14)),VLOOKUP($K28,Subsistence,2,0)*14+VLOOKUP($K28,Subsistence,3,0)*46+IF($F28&gt;60,VLOOKUP($K28,Subsistence,4,0)*($F28-60),0))))</f>
        <v/>
      </c>
      <c r="P28" s="235" t="str">
        <f>IF(OR(ISBLANK(D28),ISBLANK(H28),ISBLANK(K28)),"",IF(I28&lt;15,Ceilings!$S$3*I28,Ceilings!$S$3*14+Ceilings!$S$4*(I28-14)))</f>
        <v/>
      </c>
      <c r="Q28" s="233" t="str">
        <f t="shared" si="4"/>
        <v/>
      </c>
      <c r="R28" s="136"/>
      <c r="S28" s="333" t="str">
        <f>IF(OR(ISBLANK($D28),ISBLANK($K28),ISBLANK(R28)),"",Ceilings!$V$3*R28)</f>
        <v/>
      </c>
      <c r="T28" s="93" t="str">
        <f t="shared" si="0"/>
        <v/>
      </c>
    </row>
    <row r="29" spans="1:20" ht="15.75" customHeight="1">
      <c r="A29" s="32"/>
      <c r="B29" s="72" t="str">
        <f>IF(ISBLANK(A29),"",VLOOKUP(A29,Management!$A$11:$C$25,2,0))</f>
        <v/>
      </c>
      <c r="C29" s="60"/>
      <c r="D29" s="79"/>
      <c r="E29" s="60"/>
      <c r="F29" s="274"/>
      <c r="G29" s="141" t="str">
        <f t="shared" si="1"/>
        <v/>
      </c>
      <c r="H29" s="136"/>
      <c r="I29" s="274"/>
      <c r="J29" s="141" t="str">
        <f t="shared" si="2"/>
        <v/>
      </c>
      <c r="K29" s="102"/>
      <c r="L29" s="458"/>
      <c r="M29" s="459"/>
      <c r="N29" s="316" t="str">
        <f t="shared" si="3"/>
        <v/>
      </c>
      <c r="O29" s="234" t="str">
        <f>IF(OR(ISBLANK($D29),ISBLANK($K29)),"",IF(LEFT($D29,18)="Short-term blended",IF($F29&lt;15,Ceilings!$S$6*$F29,Ceilings!$S$6*14+Ceilings!$S$7*($F29-14)),IF(LEFT($D29,18)="Short-term joint s",IF($F29&lt;15,Ceilings!$S$3*$F29,Ceilings!$S$3*14+Ceilings!$S$4*($F29-14)),VLOOKUP($K29,Subsistence,2,0)*14+VLOOKUP($K29,Subsistence,3,0)*46+IF($F29&gt;60,VLOOKUP($K29,Subsistence,4,0)*($F29-60),0))))</f>
        <v/>
      </c>
      <c r="P29" s="235" t="str">
        <f>IF(OR(ISBLANK(D29),ISBLANK(H29),ISBLANK(K29)),"",IF(I29&lt;15,Ceilings!$S$3*I29,Ceilings!$S$3*14+Ceilings!$S$4*(I29-14)))</f>
        <v/>
      </c>
      <c r="Q29" s="233" t="str">
        <f t="shared" si="4"/>
        <v/>
      </c>
      <c r="R29" s="136"/>
      <c r="S29" s="333" t="str">
        <f>IF(OR(ISBLANK($D29),ISBLANK($K29),ISBLANK(R29)),"",Ceilings!$V$3*R29)</f>
        <v/>
      </c>
      <c r="T29" s="93" t="str">
        <f t="shared" si="0"/>
        <v/>
      </c>
    </row>
    <row r="30" spans="1:20" ht="15.75" customHeight="1">
      <c r="A30" s="32"/>
      <c r="B30" s="72" t="str">
        <f>IF(ISBLANK(A30),"",VLOOKUP(A30,Management!$A$11:$C$25,2,0))</f>
        <v/>
      </c>
      <c r="C30" s="60"/>
      <c r="D30" s="79"/>
      <c r="E30" s="60"/>
      <c r="F30" s="274"/>
      <c r="G30" s="141" t="str">
        <f t="shared" si="1"/>
        <v/>
      </c>
      <c r="H30" s="136"/>
      <c r="I30" s="274"/>
      <c r="J30" s="141" t="str">
        <f t="shared" si="2"/>
        <v/>
      </c>
      <c r="K30" s="102"/>
      <c r="L30" s="458"/>
      <c r="M30" s="459"/>
      <c r="N30" s="316" t="str">
        <f t="shared" si="3"/>
        <v/>
      </c>
      <c r="O30" s="234" t="str">
        <f>IF(OR(ISBLANK($D30),ISBLANK($K30)),"",IF(LEFT($D30,18)="Short-term blended",IF($F30&lt;15,Ceilings!$S$6*$F30,Ceilings!$S$6*14+Ceilings!$S$7*($F30-14)),IF(LEFT($D30,18)="Short-term joint s",IF($F30&lt;15,Ceilings!$S$3*$F30,Ceilings!$S$3*14+Ceilings!$S$4*($F30-14)),VLOOKUP($K30,Subsistence,2,0)*14+VLOOKUP($K30,Subsistence,3,0)*46+IF($F30&gt;60,VLOOKUP($K30,Subsistence,4,0)*($F30-60),0))))</f>
        <v/>
      </c>
      <c r="P30" s="235" t="str">
        <f>IF(OR(ISBLANK(D30),ISBLANK(H30),ISBLANK(K30)),"",IF(I30&lt;15,Ceilings!$S$3*I30,Ceilings!$S$3*14+Ceilings!$S$4*(I30-14)))</f>
        <v/>
      </c>
      <c r="Q30" s="233" t="str">
        <f t="shared" si="4"/>
        <v/>
      </c>
      <c r="R30" s="136"/>
      <c r="S30" s="333" t="str">
        <f>IF(OR(ISBLANK($D30),ISBLANK($K30),ISBLANK(R30)),"",Ceilings!$V$3*R30)</f>
        <v/>
      </c>
      <c r="T30" s="93" t="str">
        <f t="shared" si="0"/>
        <v/>
      </c>
    </row>
    <row r="31" spans="1:20" ht="15.75" customHeight="1">
      <c r="A31" s="32"/>
      <c r="B31" s="72" t="str">
        <f>IF(ISBLANK(A31),"",VLOOKUP(A31,Management!$A$11:$C$25,2,0))</f>
        <v/>
      </c>
      <c r="C31" s="60"/>
      <c r="D31" s="79"/>
      <c r="E31" s="60"/>
      <c r="F31" s="274"/>
      <c r="G31" s="141" t="str">
        <f t="shared" si="1"/>
        <v/>
      </c>
      <c r="H31" s="136"/>
      <c r="I31" s="274"/>
      <c r="J31" s="141" t="str">
        <f t="shared" si="2"/>
        <v/>
      </c>
      <c r="K31" s="102"/>
      <c r="L31" s="458"/>
      <c r="M31" s="459"/>
      <c r="N31" s="316" t="str">
        <f t="shared" si="3"/>
        <v/>
      </c>
      <c r="O31" s="234" t="str">
        <f>IF(OR(ISBLANK($D31),ISBLANK($K31)),"",IF(LEFT($D31,18)="Short-term blended",IF($F31&lt;15,Ceilings!$S$6*$F31,Ceilings!$S$6*14+Ceilings!$S$7*($F31-14)),IF(LEFT($D31,18)="Short-term joint s",IF($F31&lt;15,Ceilings!$S$3*$F31,Ceilings!$S$3*14+Ceilings!$S$4*($F31-14)),VLOOKUP($K31,Subsistence,2,0)*14+VLOOKUP($K31,Subsistence,3,0)*46+IF($F31&gt;60,VLOOKUP($K31,Subsistence,4,0)*($F31-60),0))))</f>
        <v/>
      </c>
      <c r="P31" s="235" t="str">
        <f>IF(OR(ISBLANK(D31),ISBLANK(H31),ISBLANK(K31)),"",IF(I31&lt;15,Ceilings!$S$3*I31,Ceilings!$S$3*14+Ceilings!$S$4*(I31-14)))</f>
        <v/>
      </c>
      <c r="Q31" s="233" t="str">
        <f t="shared" si="4"/>
        <v/>
      </c>
      <c r="R31" s="136"/>
      <c r="S31" s="333" t="str">
        <f>IF(OR(ISBLANK($D31),ISBLANK($K31),ISBLANK(R31)),"",Ceilings!$V$3*R31)</f>
        <v/>
      </c>
      <c r="T31" s="93" t="str">
        <f t="shared" si="0"/>
        <v/>
      </c>
    </row>
    <row r="32" spans="1:20" ht="15.75" customHeight="1">
      <c r="A32" s="32"/>
      <c r="B32" s="72" t="str">
        <f>IF(ISBLANK(A32),"",VLOOKUP(A32,Management!$A$11:$C$25,2,0))</f>
        <v/>
      </c>
      <c r="C32" s="60"/>
      <c r="D32" s="79"/>
      <c r="E32" s="60"/>
      <c r="F32" s="274"/>
      <c r="G32" s="141" t="str">
        <f t="shared" si="1"/>
        <v/>
      </c>
      <c r="H32" s="136"/>
      <c r="I32" s="274"/>
      <c r="J32" s="141" t="str">
        <f t="shared" si="2"/>
        <v/>
      </c>
      <c r="K32" s="102"/>
      <c r="L32" s="458"/>
      <c r="M32" s="459"/>
      <c r="N32" s="316" t="str">
        <f t="shared" si="3"/>
        <v/>
      </c>
      <c r="O32" s="234" t="str">
        <f>IF(OR(ISBLANK($D32),ISBLANK($K32)),"",IF(LEFT($D32,18)="Short-term blended",IF($F32&lt;15,Ceilings!$S$6*$F32,Ceilings!$S$6*14+Ceilings!$S$7*($F32-14)),IF(LEFT($D32,18)="Short-term joint s",IF($F32&lt;15,Ceilings!$S$3*$F32,Ceilings!$S$3*14+Ceilings!$S$4*($F32-14)),VLOOKUP($K32,Subsistence,2,0)*14+VLOOKUP($K32,Subsistence,3,0)*46+IF($F32&gt;60,VLOOKUP($K32,Subsistence,4,0)*($F32-60),0))))</f>
        <v/>
      </c>
      <c r="P32" s="235" t="str">
        <f>IF(OR(ISBLANK(D32),ISBLANK(H32),ISBLANK(K32)),"",IF(I32&lt;15,Ceilings!$S$3*I32,Ceilings!$S$3*14+Ceilings!$S$4*(I32-14)))</f>
        <v/>
      </c>
      <c r="Q32" s="233" t="str">
        <f t="shared" si="4"/>
        <v/>
      </c>
      <c r="R32" s="136"/>
      <c r="S32" s="333" t="str">
        <f>IF(OR(ISBLANK($D32),ISBLANK($K32),ISBLANK(R32)),"",Ceilings!$V$3*R32)</f>
        <v/>
      </c>
      <c r="T32" s="93" t="str">
        <f t="shared" si="0"/>
        <v/>
      </c>
    </row>
    <row r="33" spans="1:20" ht="15.75" customHeight="1">
      <c r="A33" s="32"/>
      <c r="B33" s="72" t="str">
        <f>IF(ISBLANK(A33),"",VLOOKUP(A33,Management!$A$11:$C$25,2,0))</f>
        <v/>
      </c>
      <c r="C33" s="60"/>
      <c r="D33" s="79"/>
      <c r="E33" s="60"/>
      <c r="F33" s="274"/>
      <c r="G33" s="141" t="str">
        <f t="shared" si="1"/>
        <v/>
      </c>
      <c r="H33" s="136"/>
      <c r="I33" s="274"/>
      <c r="J33" s="141" t="str">
        <f t="shared" si="2"/>
        <v/>
      </c>
      <c r="K33" s="102"/>
      <c r="L33" s="458"/>
      <c r="M33" s="459"/>
      <c r="N33" s="316" t="str">
        <f t="shared" si="3"/>
        <v/>
      </c>
      <c r="O33" s="234" t="str">
        <f>IF(OR(ISBLANK($D33),ISBLANK($K33)),"",IF(LEFT($D33,18)="Short-term blended",IF($F33&lt;15,Ceilings!$S$6*$F33,Ceilings!$S$6*14+Ceilings!$S$7*($F33-14)),IF(LEFT($D33,18)="Short-term joint s",IF($F33&lt;15,Ceilings!$S$3*$F33,Ceilings!$S$3*14+Ceilings!$S$4*($F33-14)),VLOOKUP($K33,Subsistence,2,0)*14+VLOOKUP($K33,Subsistence,3,0)*46+IF($F33&gt;60,VLOOKUP($K33,Subsistence,4,0)*($F33-60),0))))</f>
        <v/>
      </c>
      <c r="P33" s="235" t="str">
        <f>IF(OR(ISBLANK(D33),ISBLANK(H33),ISBLANK(K33)),"",IF(I33&lt;15,Ceilings!$S$3*I33,Ceilings!$S$3*14+Ceilings!$S$4*(I33-14)))</f>
        <v/>
      </c>
      <c r="Q33" s="233" t="str">
        <f t="shared" si="4"/>
        <v/>
      </c>
      <c r="R33" s="136"/>
      <c r="S33" s="333" t="str">
        <f>IF(OR(ISBLANK($D33),ISBLANK($K33),ISBLANK(R33)),"",Ceilings!$V$3*R33)</f>
        <v/>
      </c>
      <c r="T33" s="93" t="str">
        <f t="shared" si="0"/>
        <v/>
      </c>
    </row>
    <row r="34" spans="1:20" ht="15.75" customHeight="1">
      <c r="A34" s="32"/>
      <c r="B34" s="72" t="str">
        <f>IF(ISBLANK(A34),"",VLOOKUP(A34,Management!$A$11:$C$25,2,0))</f>
        <v/>
      </c>
      <c r="C34" s="60"/>
      <c r="D34" s="79"/>
      <c r="E34" s="60"/>
      <c r="F34" s="274"/>
      <c r="G34" s="141" t="str">
        <f t="shared" si="1"/>
        <v/>
      </c>
      <c r="H34" s="136"/>
      <c r="I34" s="274"/>
      <c r="J34" s="141" t="str">
        <f t="shared" si="2"/>
        <v/>
      </c>
      <c r="K34" s="102"/>
      <c r="L34" s="458"/>
      <c r="M34" s="459"/>
      <c r="N34" s="316" t="str">
        <f t="shared" si="3"/>
        <v/>
      </c>
      <c r="O34" s="234" t="str">
        <f>IF(OR(ISBLANK($D34),ISBLANK($K34)),"",IF(LEFT($D34,18)="Short-term blended",IF($F34&lt;15,Ceilings!$S$6*$F34,Ceilings!$S$6*14+Ceilings!$S$7*($F34-14)),IF(LEFT($D34,18)="Short-term joint s",IF($F34&lt;15,Ceilings!$S$3*$F34,Ceilings!$S$3*14+Ceilings!$S$4*($F34-14)),VLOOKUP($K34,Subsistence,2,0)*14+VLOOKUP($K34,Subsistence,3,0)*46+IF($F34&gt;60,VLOOKUP($K34,Subsistence,4,0)*($F34-60),0))))</f>
        <v/>
      </c>
      <c r="P34" s="235" t="str">
        <f>IF(OR(ISBLANK(D34),ISBLANK(H34),ISBLANK(K34)),"",IF(I34&lt;15,Ceilings!$S$3*I34,Ceilings!$S$3*14+Ceilings!$S$4*(I34-14)))</f>
        <v/>
      </c>
      <c r="Q34" s="233" t="str">
        <f t="shared" si="4"/>
        <v/>
      </c>
      <c r="R34" s="136"/>
      <c r="S34" s="333" t="str">
        <f>IF(OR(ISBLANK($D34),ISBLANK($K34),ISBLANK(R34)),"",Ceilings!$V$3*R34)</f>
        <v/>
      </c>
      <c r="T34" s="93" t="str">
        <f t="shared" si="0"/>
        <v/>
      </c>
    </row>
    <row r="35" spans="1:20" ht="15.75" customHeight="1">
      <c r="A35" s="32"/>
      <c r="B35" s="72" t="str">
        <f>IF(ISBLANK(A35),"",VLOOKUP(A35,Management!$A$11:$C$25,2,0))</f>
        <v/>
      </c>
      <c r="C35" s="60"/>
      <c r="D35" s="79"/>
      <c r="E35" s="60"/>
      <c r="F35" s="274"/>
      <c r="G35" s="141" t="str">
        <f t="shared" si="1"/>
        <v/>
      </c>
      <c r="H35" s="136"/>
      <c r="I35" s="274"/>
      <c r="J35" s="141" t="str">
        <f t="shared" si="2"/>
        <v/>
      </c>
      <c r="K35" s="102"/>
      <c r="L35" s="458"/>
      <c r="M35" s="459"/>
      <c r="N35" s="316" t="str">
        <f t="shared" si="3"/>
        <v/>
      </c>
      <c r="O35" s="234" t="str">
        <f>IF(OR(ISBLANK($D35),ISBLANK($K35)),"",IF(LEFT($D35,18)="Short-term blended",IF($F35&lt;15,Ceilings!$S$6*$F35,Ceilings!$S$6*14+Ceilings!$S$7*($F35-14)),IF(LEFT($D35,18)="Short-term joint s",IF($F35&lt;15,Ceilings!$S$3*$F35,Ceilings!$S$3*14+Ceilings!$S$4*($F35-14)),VLOOKUP($K35,Subsistence,2,0)*14+VLOOKUP($K35,Subsistence,3,0)*46+IF($F35&gt;60,VLOOKUP($K35,Subsistence,4,0)*($F35-60),0))))</f>
        <v/>
      </c>
      <c r="P35" s="235" t="str">
        <f>IF(OR(ISBLANK(D35),ISBLANK(H35),ISBLANK(K35)),"",IF(I35&lt;15,Ceilings!$S$3*I35,Ceilings!$S$3*14+Ceilings!$S$4*(I35-14)))</f>
        <v/>
      </c>
      <c r="Q35" s="233" t="str">
        <f t="shared" si="4"/>
        <v/>
      </c>
      <c r="R35" s="136"/>
      <c r="S35" s="333" t="str">
        <f>IF(OR(ISBLANK($D35),ISBLANK($K35),ISBLANK(R35)),"",Ceilings!$V$3*R35)</f>
        <v/>
      </c>
      <c r="T35" s="93" t="str">
        <f t="shared" si="0"/>
        <v/>
      </c>
    </row>
    <row r="36" spans="1:20" ht="15.75" customHeight="1">
      <c r="A36" s="32"/>
      <c r="B36" s="72" t="str">
        <f>IF(ISBLANK(A36),"",VLOOKUP(A36,Management!$A$11:$C$25,2,0))</f>
        <v/>
      </c>
      <c r="C36" s="60"/>
      <c r="D36" s="79"/>
      <c r="E36" s="60"/>
      <c r="F36" s="274"/>
      <c r="G36" s="141" t="str">
        <f t="shared" si="1"/>
        <v/>
      </c>
      <c r="H36" s="136"/>
      <c r="I36" s="274"/>
      <c r="J36" s="141" t="str">
        <f t="shared" si="2"/>
        <v/>
      </c>
      <c r="K36" s="102"/>
      <c r="L36" s="458"/>
      <c r="M36" s="459"/>
      <c r="N36" s="316" t="str">
        <f t="shared" si="3"/>
        <v/>
      </c>
      <c r="O36" s="234" t="str">
        <f>IF(OR(ISBLANK($D36),ISBLANK($K36)),"",IF(LEFT($D36,18)="Short-term blended",IF($F36&lt;15,Ceilings!$S$6*$F36,Ceilings!$S$6*14+Ceilings!$S$7*($F36-14)),IF(LEFT($D36,18)="Short-term joint s",IF($F36&lt;15,Ceilings!$S$3*$F36,Ceilings!$S$3*14+Ceilings!$S$4*($F36-14)),VLOOKUP($K36,Subsistence,2,0)*14+VLOOKUP($K36,Subsistence,3,0)*46+IF($F36&gt;60,VLOOKUP($K36,Subsistence,4,0)*($F36-60),0))))</f>
        <v/>
      </c>
      <c r="P36" s="235" t="str">
        <f>IF(OR(ISBLANK(D36),ISBLANK(H36),ISBLANK(K36)),"",IF(I36&lt;15,Ceilings!$S$3*I36,Ceilings!$S$3*14+Ceilings!$S$4*(I36-14)))</f>
        <v/>
      </c>
      <c r="Q36" s="233" t="str">
        <f t="shared" si="4"/>
        <v/>
      </c>
      <c r="R36" s="136"/>
      <c r="S36" s="333" t="str">
        <f>IF(OR(ISBLANK($D36),ISBLANK($K36),ISBLANK(R36)),"",Ceilings!$V$3*R36)</f>
        <v/>
      </c>
      <c r="T36" s="93" t="str">
        <f t="shared" si="0"/>
        <v/>
      </c>
    </row>
    <row r="37" spans="1:20" ht="15.75" customHeight="1" thickBot="1">
      <c r="A37" s="35"/>
      <c r="B37" s="73" t="str">
        <f>IF(ISBLANK(A37),"",VLOOKUP(A37,Management!$A$11:$C$25,2,0))</f>
        <v/>
      </c>
      <c r="C37" s="62"/>
      <c r="D37" s="80"/>
      <c r="E37" s="62"/>
      <c r="F37" s="275"/>
      <c r="G37" s="142" t="str">
        <f t="shared" si="1"/>
        <v/>
      </c>
      <c r="H37" s="137"/>
      <c r="I37" s="275"/>
      <c r="J37" s="142" t="str">
        <f t="shared" si="2"/>
        <v/>
      </c>
      <c r="K37" s="103"/>
      <c r="L37" s="460"/>
      <c r="M37" s="461"/>
      <c r="N37" s="323" t="str">
        <f t="shared" si="3"/>
        <v/>
      </c>
      <c r="O37" s="237" t="str">
        <f>IF(OR(ISBLANK($D37),ISBLANK($K37)),"",IF(LEFT($D37,18)="Short-term blended",IF($F37&lt;15,Ceilings!$S$6*$F37,Ceilings!$S$6*14+Ceilings!$S$7*($F37-14)),IF(LEFT($D37,18)="Short-term joint s",IF($F37&lt;15,Ceilings!$S$3*$F37,Ceilings!$S$3*14+Ceilings!$S$4*($F37-14)),VLOOKUP($K37,Subsistence,2,0)*14+VLOOKUP($K37,Subsistence,3,0)*46+IF($F37&gt;60,VLOOKUP($K37,Subsistence,4,0)*($F37-60),0))))</f>
        <v/>
      </c>
      <c r="P37" s="238" t="str">
        <f>IF(OR(ISBLANK(D37),ISBLANK(H37),ISBLANK(K37)),"",IF(I37&lt;15,Ceilings!$S$3*I37,Ceilings!$S$3*14+Ceilings!$S$4*(I37-14)))</f>
        <v/>
      </c>
      <c r="Q37" s="236" t="str">
        <f t="shared" si="4"/>
        <v/>
      </c>
      <c r="R37" s="137"/>
      <c r="S37" s="334" t="str">
        <f>IF(OR(ISBLANK($D37),ISBLANK($K37),ISBLANK(R37)),"",Ceilings!$V$3*R37)</f>
        <v/>
      </c>
      <c r="T37" s="97" t="str">
        <f t="shared" si="0"/>
        <v/>
      </c>
    </row>
    <row r="38" spans="1:20">
      <c r="E38" s="56">
        <f>SUM(E7:E37)</f>
        <v>0</v>
      </c>
      <c r="H38" s="56">
        <f t="shared" ref="H38" si="5">SUM(H7:H37)</f>
        <v>0</v>
      </c>
      <c r="R38" s="56"/>
    </row>
  </sheetData>
  <sheetProtection password="CBC2" sheet="1" objects="1" scenarios="1" sort="0" autoFilter="0"/>
  <mergeCells count="19">
    <mergeCell ref="E1:H2"/>
    <mergeCell ref="J1:S1"/>
    <mergeCell ref="B2:C2"/>
    <mergeCell ref="J2:S2"/>
    <mergeCell ref="T4:T5"/>
    <mergeCell ref="F4:G5"/>
    <mergeCell ref="H4:H5"/>
    <mergeCell ref="I4:J5"/>
    <mergeCell ref="M4:M5"/>
    <mergeCell ref="K4:K5"/>
    <mergeCell ref="L4:L5"/>
    <mergeCell ref="N4:N5"/>
    <mergeCell ref="O4:Q4"/>
    <mergeCell ref="R4:S4"/>
    <mergeCell ref="A4:A5"/>
    <mergeCell ref="B4:B5"/>
    <mergeCell ref="C4:C5"/>
    <mergeCell ref="D4:D5"/>
    <mergeCell ref="E4:E5"/>
  </mergeCells>
  <phoneticPr fontId="7" type="noConversion"/>
  <conditionalFormatting sqref="H7:H37">
    <cfRule type="expression" dxfId="6" priority="5" stopIfTrue="1">
      <formula>LEFT($D7,18)="Short-term blended"</formula>
    </cfRule>
  </conditionalFormatting>
  <conditionalFormatting sqref="R7:R37">
    <cfRule type="expression" dxfId="5" priority="4"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4" priority="3" stopIfTrue="1" operator="equal">
      <formula>$B7</formula>
    </cfRule>
  </conditionalFormatting>
  <dataValidations disablePrompts="1" count="11">
    <dataValidation type="custom" showInputMessage="1" showErrorMessage="1" sqref="R7:R37">
      <formula1>LEFT($D7,4)="Long"</formula1>
    </dataValidation>
    <dataValidation type="custom" showInputMessage="1" showErrorMessage="1" sqref="H7:H37">
      <formula1>LEFT($D7,18)="Short-term blended"</formula1>
    </dataValidation>
    <dataValidation type="custom" allowBlank="1" showInputMessage="1" showErrorMessage="1" error="It is not possible greater than for participants." sqref="I7:I37">
      <formula1>I7&lt;=F7</formula1>
    </dataValidation>
    <dataValidation type="list" allowBlank="1" showInputMessage="1" showErrorMessage="1" sqref="K7:K37">
      <formula1>CountriesofPs</formula1>
    </dataValidation>
    <dataValidation type="list" allowBlank="1" showInputMessage="1" showErrorMessage="1" sqref="A7:A37">
      <formula1>Partners</formula1>
    </dataValidation>
    <dataValidation type="list" allowBlank="1" showInputMessage="1" showErrorMessage="1" sqref="D7:D37">
      <formula1>IF(ISNA(MATCH(B7,PCountries,0)),Activity_t,Y_Activity_t)</formula1>
    </dataValidation>
    <dataValidation type="list" allowBlank="1" showInputMessage="1" showErrorMessage="1" sqref="L7:L37">
      <formula1>Distances</formula1>
    </dataValidation>
    <dataValidation allowBlank="1" error="Long-term teaching or training assignments &lt; 367 days, otherwise between 5 and 60 days." sqref="G7:G37 J7:J37"/>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27559055118110237" right="0.27559055118110237" top="0.6692913385826772" bottom="0.6692913385826772" header="0.37187500000000001" footer="0.51181102362204722"/>
  <pageSetup paperSize="9" scale="64" orientation="landscape" r:id="rId1"/>
  <headerFooter scaleWithDoc="0">
    <oddHeader>&amp;C&amp;11 2017. E+ KA202&amp;RVersion: 2017.02.16. - TKA</oddHeader>
    <oddFooter>&amp;C&amp;"Arial,Félkövér"&amp;A</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08000"/>
    <pageSetUpPr fitToPage="1"/>
  </sheetPr>
  <dimension ref="A1:G36"/>
  <sheetViews>
    <sheetView zoomScaleNormal="100" zoomScaleSheetLayoutView="100" workbookViewId="0">
      <selection activeCell="A6" sqref="A6"/>
    </sheetView>
  </sheetViews>
  <sheetFormatPr defaultColWidth="8.85546875" defaultRowHeight="12.75"/>
  <cols>
    <col min="1" max="1" width="21.42578125" style="44" customWidth="1"/>
    <col min="2" max="2" width="19.42578125" style="39" customWidth="1"/>
    <col min="3" max="3" width="27.85546875" style="56" customWidth="1"/>
    <col min="4" max="4" width="26.28515625" style="56" customWidth="1"/>
    <col min="5" max="5" width="9.28515625" style="57" customWidth="1"/>
    <col min="6" max="6" width="13.7109375" style="57" customWidth="1"/>
    <col min="7" max="7" width="35.7109375" style="12" bestFit="1" customWidth="1"/>
    <col min="8" max="16384" width="8.85546875" style="12"/>
  </cols>
  <sheetData>
    <row r="1" spans="1:7" s="449" customFormat="1" ht="15" customHeight="1">
      <c r="A1" s="145" t="s">
        <v>141</v>
      </c>
      <c r="B1" s="146"/>
      <c r="C1" s="584" t="s">
        <v>495</v>
      </c>
      <c r="D1" s="585"/>
      <c r="E1" s="585"/>
      <c r="F1" s="586"/>
    </row>
    <row r="2" spans="1:7" s="449" customFormat="1" ht="16.5" thickBot="1">
      <c r="A2" s="149" t="s">
        <v>0</v>
      </c>
      <c r="B2" s="150"/>
      <c r="C2" s="587"/>
      <c r="D2" s="588"/>
      <c r="E2" s="588"/>
      <c r="F2" s="589"/>
    </row>
    <row r="3" spans="1:7" s="49" customFormat="1" ht="13.5" customHeight="1" thickBot="1">
      <c r="A3" s="158" t="s">
        <v>1</v>
      </c>
      <c r="B3" s="159"/>
      <c r="C3" s="182"/>
      <c r="D3" s="182"/>
      <c r="E3" s="183"/>
      <c r="F3" s="184"/>
    </row>
    <row r="4" spans="1:7" s="46" customFormat="1" ht="26.25" thickBot="1">
      <c r="A4" s="164" t="s">
        <v>483</v>
      </c>
      <c r="B4" s="165" t="s">
        <v>32</v>
      </c>
      <c r="C4" s="177" t="s">
        <v>142</v>
      </c>
      <c r="D4" s="177" t="s">
        <v>140</v>
      </c>
      <c r="E4" s="178" t="s">
        <v>35</v>
      </c>
      <c r="F4" s="178" t="s">
        <v>311</v>
      </c>
    </row>
    <row r="5" spans="1:7" s="46" customFormat="1" ht="13.5" customHeight="1" thickBot="1">
      <c r="A5" s="185"/>
      <c r="B5" s="169"/>
      <c r="C5" s="169"/>
      <c r="D5" s="170"/>
      <c r="E5" s="222" t="s">
        <v>316</v>
      </c>
      <c r="F5" s="246">
        <f>SUM(F6:F36)</f>
        <v>0</v>
      </c>
      <c r="G5" s="64" t="str">
        <f>IF(F5&gt;50000,"75% of eligible costs ≤ 50 000 EUR per project!","")</f>
        <v/>
      </c>
    </row>
    <row r="6" spans="1:7">
      <c r="A6" s="29"/>
      <c r="B6" s="53" t="str">
        <f>IF(ISBLANK(A6),"",VLOOKUP(A6,Management!$A$11:$C$25,2,0))</f>
        <v/>
      </c>
      <c r="C6" s="19"/>
      <c r="D6" s="19"/>
      <c r="E6" s="223"/>
      <c r="F6" s="221" t="str">
        <f>IF(ISBLANK(A6),"",IF(OR(ISBLANK(C6),ISBLANK(D6),ISBLANK(E6)),"Missing data",ROUND(E6*0.75,0)))</f>
        <v/>
      </c>
    </row>
    <row r="7" spans="1:7">
      <c r="A7" s="32"/>
      <c r="B7" s="54" t="str">
        <f>IF(ISBLANK(A7),"",VLOOKUP(A7,Management!$A$11:$C$25,2,0))</f>
        <v/>
      </c>
      <c r="C7" s="21"/>
      <c r="D7" s="21"/>
      <c r="E7" s="224"/>
      <c r="F7" s="93" t="str">
        <f t="shared" ref="F7:F36" si="0">IF(ISBLANK(A7),"",IF(OR(ISBLANK(C7),ISBLANK(D7),ISBLANK(E7)),"Missing data",ROUND(E7*0.75,0)))</f>
        <v/>
      </c>
    </row>
    <row r="8" spans="1:7">
      <c r="A8" s="32"/>
      <c r="B8" s="54" t="str">
        <f>IF(ISBLANK(A8),"",VLOOKUP(A8,Management!$A$11:$C$25,2,0))</f>
        <v/>
      </c>
      <c r="C8" s="21"/>
      <c r="D8" s="21"/>
      <c r="E8" s="224"/>
      <c r="F8" s="93" t="str">
        <f t="shared" si="0"/>
        <v/>
      </c>
    </row>
    <row r="9" spans="1:7">
      <c r="A9" s="32"/>
      <c r="B9" s="54" t="str">
        <f>IF(ISBLANK(A9),"",VLOOKUP(A9,Management!$A$11:$C$25,2,0))</f>
        <v/>
      </c>
      <c r="C9" s="21"/>
      <c r="D9" s="21"/>
      <c r="E9" s="224"/>
      <c r="F9" s="93" t="str">
        <f t="shared" si="0"/>
        <v/>
      </c>
    </row>
    <row r="10" spans="1:7">
      <c r="A10" s="32"/>
      <c r="B10" s="54" t="str">
        <f>IF(ISBLANK(A10),"",VLOOKUP(A10,Management!$A$11:$C$25,2,0))</f>
        <v/>
      </c>
      <c r="C10" s="21"/>
      <c r="D10" s="21"/>
      <c r="E10" s="224"/>
      <c r="F10" s="93" t="str">
        <f t="shared" si="0"/>
        <v/>
      </c>
    </row>
    <row r="11" spans="1:7">
      <c r="A11" s="32"/>
      <c r="B11" s="54" t="str">
        <f>IF(ISBLANK(A11),"",VLOOKUP(A11,Management!$A$11:$C$25,2,0))</f>
        <v/>
      </c>
      <c r="C11" s="21"/>
      <c r="D11" s="21"/>
      <c r="E11" s="224"/>
      <c r="F11" s="93" t="str">
        <f t="shared" si="0"/>
        <v/>
      </c>
    </row>
    <row r="12" spans="1:7">
      <c r="A12" s="32"/>
      <c r="B12" s="54" t="str">
        <f>IF(ISBLANK(A12),"",VLOOKUP(A12,Management!$A$11:$C$25,2,0))</f>
        <v/>
      </c>
      <c r="C12" s="21"/>
      <c r="D12" s="21"/>
      <c r="E12" s="224"/>
      <c r="F12" s="93" t="str">
        <f t="shared" si="0"/>
        <v/>
      </c>
    </row>
    <row r="13" spans="1:7">
      <c r="A13" s="32"/>
      <c r="B13" s="54" t="str">
        <f>IF(ISBLANK(A13),"",VLOOKUP(A13,Management!$A$11:$C$25,2,0))</f>
        <v/>
      </c>
      <c r="C13" s="21"/>
      <c r="D13" s="21"/>
      <c r="E13" s="224"/>
      <c r="F13" s="93" t="str">
        <f t="shared" si="0"/>
        <v/>
      </c>
    </row>
    <row r="14" spans="1:7">
      <c r="A14" s="32"/>
      <c r="B14" s="54" t="str">
        <f>IF(ISBLANK(A14),"",VLOOKUP(A14,Management!$A$11:$C$25,2,0))</f>
        <v/>
      </c>
      <c r="C14" s="21"/>
      <c r="D14" s="21"/>
      <c r="E14" s="224"/>
      <c r="F14" s="93" t="str">
        <f t="shared" si="0"/>
        <v/>
      </c>
    </row>
    <row r="15" spans="1:7">
      <c r="A15" s="32"/>
      <c r="B15" s="54" t="str">
        <f>IF(ISBLANK(A15),"",VLOOKUP(A15,Management!$A$11:$C$25,2,0))</f>
        <v/>
      </c>
      <c r="C15" s="21"/>
      <c r="D15" s="21"/>
      <c r="E15" s="224"/>
      <c r="F15" s="93" t="str">
        <f t="shared" si="0"/>
        <v/>
      </c>
    </row>
    <row r="16" spans="1:7">
      <c r="A16" s="32"/>
      <c r="B16" s="54" t="str">
        <f>IF(ISBLANK(A16),"",VLOOKUP(A16,Management!$A$11:$C$25,2,0))</f>
        <v/>
      </c>
      <c r="C16" s="21"/>
      <c r="D16" s="21"/>
      <c r="E16" s="224"/>
      <c r="F16" s="93" t="str">
        <f t="shared" si="0"/>
        <v/>
      </c>
    </row>
    <row r="17" spans="1:6">
      <c r="A17" s="32"/>
      <c r="B17" s="54" t="str">
        <f>IF(ISBLANK(A17),"",VLOOKUP(A17,Management!$A$11:$C$25,2,0))</f>
        <v/>
      </c>
      <c r="C17" s="21"/>
      <c r="D17" s="21"/>
      <c r="E17" s="224"/>
      <c r="F17" s="93" t="str">
        <f t="shared" si="0"/>
        <v/>
      </c>
    </row>
    <row r="18" spans="1:6">
      <c r="A18" s="32"/>
      <c r="B18" s="54" t="str">
        <f>IF(ISBLANK(A18),"",VLOOKUP(A18,Management!$A$11:$C$25,2,0))</f>
        <v/>
      </c>
      <c r="C18" s="21"/>
      <c r="D18" s="21"/>
      <c r="E18" s="224"/>
      <c r="F18" s="93" t="str">
        <f t="shared" si="0"/>
        <v/>
      </c>
    </row>
    <row r="19" spans="1:6">
      <c r="A19" s="32"/>
      <c r="B19" s="54" t="str">
        <f>IF(ISBLANK(A19),"",VLOOKUP(A19,Management!$A$11:$C$25,2,0))</f>
        <v/>
      </c>
      <c r="C19" s="21"/>
      <c r="D19" s="21"/>
      <c r="E19" s="224"/>
      <c r="F19" s="93" t="str">
        <f t="shared" si="0"/>
        <v/>
      </c>
    </row>
    <row r="20" spans="1:6">
      <c r="A20" s="32"/>
      <c r="B20" s="54" t="str">
        <f>IF(ISBLANK(A20),"",VLOOKUP(A20,Management!$A$11:$C$25,2,0))</f>
        <v/>
      </c>
      <c r="C20" s="21"/>
      <c r="D20" s="21"/>
      <c r="E20" s="224"/>
      <c r="F20" s="93" t="str">
        <f t="shared" si="0"/>
        <v/>
      </c>
    </row>
    <row r="21" spans="1:6">
      <c r="A21" s="32"/>
      <c r="B21" s="54" t="str">
        <f>IF(ISBLANK(A21),"",VLOOKUP(A21,Management!$A$11:$C$25,2,0))</f>
        <v/>
      </c>
      <c r="C21" s="21"/>
      <c r="D21" s="21"/>
      <c r="E21" s="224"/>
      <c r="F21" s="93" t="str">
        <f t="shared" si="0"/>
        <v/>
      </c>
    </row>
    <row r="22" spans="1:6">
      <c r="A22" s="32"/>
      <c r="B22" s="54" t="str">
        <f>IF(ISBLANK(A22),"",VLOOKUP(A22,Management!$A$11:$C$25,2,0))</f>
        <v/>
      </c>
      <c r="C22" s="21"/>
      <c r="D22" s="21"/>
      <c r="E22" s="224"/>
      <c r="F22" s="93" t="str">
        <f t="shared" si="0"/>
        <v/>
      </c>
    </row>
    <row r="23" spans="1:6">
      <c r="A23" s="32"/>
      <c r="B23" s="54" t="str">
        <f>IF(ISBLANK(A23),"",VLOOKUP(A23,Management!$A$11:$C$25,2,0))</f>
        <v/>
      </c>
      <c r="C23" s="21"/>
      <c r="D23" s="21"/>
      <c r="E23" s="224"/>
      <c r="F23" s="93" t="str">
        <f t="shared" si="0"/>
        <v/>
      </c>
    </row>
    <row r="24" spans="1:6">
      <c r="A24" s="32"/>
      <c r="B24" s="54" t="str">
        <f>IF(ISBLANK(A24),"",VLOOKUP(A24,Management!$A$11:$C$25,2,0))</f>
        <v/>
      </c>
      <c r="C24" s="21"/>
      <c r="D24" s="21"/>
      <c r="E24" s="224"/>
      <c r="F24" s="93" t="str">
        <f t="shared" si="0"/>
        <v/>
      </c>
    </row>
    <row r="25" spans="1:6">
      <c r="A25" s="32"/>
      <c r="B25" s="54" t="str">
        <f>IF(ISBLANK(A25),"",VLOOKUP(A25,Management!$A$11:$C$25,2,0))</f>
        <v/>
      </c>
      <c r="C25" s="21"/>
      <c r="D25" s="21"/>
      <c r="E25" s="224"/>
      <c r="F25" s="93" t="str">
        <f t="shared" si="0"/>
        <v/>
      </c>
    </row>
    <row r="26" spans="1:6">
      <c r="A26" s="32"/>
      <c r="B26" s="54" t="str">
        <f>IF(ISBLANK(A26),"",VLOOKUP(A26,Management!$A$11:$C$25,2,0))</f>
        <v/>
      </c>
      <c r="C26" s="21"/>
      <c r="D26" s="21"/>
      <c r="E26" s="224"/>
      <c r="F26" s="93" t="str">
        <f t="shared" si="0"/>
        <v/>
      </c>
    </row>
    <row r="27" spans="1:6">
      <c r="A27" s="32"/>
      <c r="B27" s="54" t="str">
        <f>IF(ISBLANK(A27),"",VLOOKUP(A27,Management!$A$11:$C$25,2,0))</f>
        <v/>
      </c>
      <c r="C27" s="21"/>
      <c r="D27" s="21"/>
      <c r="E27" s="224"/>
      <c r="F27" s="93" t="str">
        <f t="shared" si="0"/>
        <v/>
      </c>
    </row>
    <row r="28" spans="1:6">
      <c r="A28" s="32"/>
      <c r="B28" s="54" t="str">
        <f>IF(ISBLANK(A28),"",VLOOKUP(A28,Management!$A$11:$C$25,2,0))</f>
        <v/>
      </c>
      <c r="C28" s="21"/>
      <c r="D28" s="21"/>
      <c r="E28" s="224"/>
      <c r="F28" s="93" t="str">
        <f t="shared" si="0"/>
        <v/>
      </c>
    </row>
    <row r="29" spans="1:6">
      <c r="A29" s="32"/>
      <c r="B29" s="54" t="str">
        <f>IF(ISBLANK(A29),"",VLOOKUP(A29,Management!$A$11:$C$25,2,0))</f>
        <v/>
      </c>
      <c r="C29" s="21"/>
      <c r="D29" s="21"/>
      <c r="E29" s="224"/>
      <c r="F29" s="93" t="str">
        <f t="shared" si="0"/>
        <v/>
      </c>
    </row>
    <row r="30" spans="1:6">
      <c r="A30" s="32"/>
      <c r="B30" s="54" t="str">
        <f>IF(ISBLANK(A30),"",VLOOKUP(A30,Management!$A$11:$C$25,2,0))</f>
        <v/>
      </c>
      <c r="C30" s="21"/>
      <c r="D30" s="21"/>
      <c r="E30" s="224"/>
      <c r="F30" s="93" t="str">
        <f t="shared" si="0"/>
        <v/>
      </c>
    </row>
    <row r="31" spans="1:6">
      <c r="A31" s="32"/>
      <c r="B31" s="54" t="str">
        <f>IF(ISBLANK(A31),"",VLOOKUP(A31,Management!$A$11:$C$25,2,0))</f>
        <v/>
      </c>
      <c r="C31" s="21"/>
      <c r="D31" s="21"/>
      <c r="E31" s="224"/>
      <c r="F31" s="93" t="str">
        <f t="shared" si="0"/>
        <v/>
      </c>
    </row>
    <row r="32" spans="1:6">
      <c r="A32" s="32"/>
      <c r="B32" s="54" t="str">
        <f>IF(ISBLANK(A32),"",VLOOKUP(A32,Management!$A$11:$C$25,2,0))</f>
        <v/>
      </c>
      <c r="C32" s="21"/>
      <c r="D32" s="21"/>
      <c r="E32" s="224"/>
      <c r="F32" s="93" t="str">
        <f t="shared" si="0"/>
        <v/>
      </c>
    </row>
    <row r="33" spans="1:6">
      <c r="A33" s="32"/>
      <c r="B33" s="54" t="str">
        <f>IF(ISBLANK(A33),"",VLOOKUP(A33,Management!$A$11:$C$25,2,0))</f>
        <v/>
      </c>
      <c r="C33" s="21"/>
      <c r="D33" s="21"/>
      <c r="E33" s="224"/>
      <c r="F33" s="93" t="str">
        <f t="shared" si="0"/>
        <v/>
      </c>
    </row>
    <row r="34" spans="1:6">
      <c r="A34" s="32"/>
      <c r="B34" s="54" t="str">
        <f>IF(ISBLANK(A34),"",VLOOKUP(A34,Management!$A$11:$C$25,2,0))</f>
        <v/>
      </c>
      <c r="C34" s="21"/>
      <c r="D34" s="21"/>
      <c r="E34" s="224"/>
      <c r="F34" s="93" t="str">
        <f t="shared" si="0"/>
        <v/>
      </c>
    </row>
    <row r="35" spans="1:6">
      <c r="A35" s="32"/>
      <c r="B35" s="54" t="str">
        <f>IF(ISBLANK(A35),"",VLOOKUP(A35,Management!$A$11:$C$25,2,0))</f>
        <v/>
      </c>
      <c r="C35" s="21"/>
      <c r="D35" s="21"/>
      <c r="E35" s="224"/>
      <c r="F35" s="93" t="str">
        <f t="shared" si="0"/>
        <v/>
      </c>
    </row>
    <row r="36" spans="1:6" ht="13.5" thickBot="1">
      <c r="A36" s="35"/>
      <c r="B36" s="36" t="str">
        <f>IF(ISBLANK(A36),"",VLOOKUP(A36,Management!$A$11:$C$25,2,0))</f>
        <v/>
      </c>
      <c r="C36" s="25"/>
      <c r="D36" s="25"/>
      <c r="E36" s="225"/>
      <c r="F36" s="97" t="str">
        <f t="shared" si="0"/>
        <v/>
      </c>
    </row>
  </sheetData>
  <sheetProtection password="CBC2" sheet="1" objects="1" scenarios="1" sort="0" autoFilter="0"/>
  <mergeCells count="1">
    <mergeCell ref="C1:F2"/>
  </mergeCells>
  <phoneticPr fontId="7" type="noConversion"/>
  <conditionalFormatting sqref="F5">
    <cfRule type="expression" dxfId="3" priority="1" stopIfTrue="1">
      <formula>G5&lt;&gt;""</formula>
    </cfRule>
  </conditionalFormatting>
  <dataValidations count="1">
    <dataValidation type="list" allowBlank="1" showInputMessage="1" showErrorMessage="1" sqref="A6:A36">
      <formula1>Partners</formula1>
    </dataValidation>
  </dataValidations>
  <printOptions horizontalCentered="1"/>
  <pageMargins left="0.7" right="0.7" top="0.75" bottom="0.75" header="0.3" footer="0.3"/>
  <pageSetup paperSize="9" scale="96" orientation="landscape" r:id="rId1"/>
  <headerFooter>
    <oddHeader>&amp;C&amp;11 2017. E+ KA202&amp;RVersion: 2017.02.16. - TKA</oddHeader>
    <oddFooter>&amp;C&amp;"Arial,Félkövér"&amp;A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8000"/>
    <pageSetUpPr fitToPage="1"/>
  </sheetPr>
  <dimension ref="A1:H36"/>
  <sheetViews>
    <sheetView zoomScaleNormal="100" zoomScaleSheetLayoutView="100" workbookViewId="0">
      <selection activeCell="G2" sqref="G2"/>
    </sheetView>
  </sheetViews>
  <sheetFormatPr defaultColWidth="8.85546875" defaultRowHeight="12.75"/>
  <cols>
    <col min="1" max="1" width="21.42578125" style="44" customWidth="1"/>
    <col min="2" max="2" width="19.42578125" style="39" customWidth="1"/>
    <col min="3" max="3" width="15.28515625" style="57" customWidth="1"/>
    <col min="4" max="4" width="22.85546875" style="56" customWidth="1"/>
    <col min="5" max="5" width="21.28515625" style="56" customWidth="1"/>
    <col min="6" max="6" width="11.42578125" style="57" customWidth="1"/>
    <col min="7" max="7" width="11.7109375" style="57" customWidth="1"/>
    <col min="8" max="8" width="21.140625" style="12" bestFit="1" customWidth="1"/>
    <col min="9" max="16384" width="8.85546875" style="12"/>
  </cols>
  <sheetData>
    <row r="1" spans="1:8" s="65" customFormat="1" ht="15.75">
      <c r="A1" s="145" t="s">
        <v>138</v>
      </c>
      <c r="B1" s="146"/>
      <c r="C1" s="179"/>
      <c r="D1" s="174"/>
      <c r="E1" s="174"/>
      <c r="F1" s="179"/>
      <c r="G1" s="180"/>
    </row>
    <row r="2" spans="1:8" s="66" customFormat="1" ht="15.75">
      <c r="A2" s="149" t="s">
        <v>0</v>
      </c>
      <c r="B2" s="150"/>
      <c r="C2" s="181"/>
      <c r="D2" s="175"/>
      <c r="E2" s="175"/>
      <c r="F2" s="181"/>
      <c r="G2" s="181"/>
    </row>
    <row r="3" spans="1:8" s="67" customFormat="1" ht="13.5" customHeight="1" thickBot="1">
      <c r="A3" s="158" t="s">
        <v>1</v>
      </c>
      <c r="B3" s="159"/>
      <c r="C3" s="183"/>
      <c r="D3" s="182"/>
      <c r="E3" s="182"/>
      <c r="F3" s="183"/>
      <c r="G3" s="184"/>
    </row>
    <row r="4" spans="1:8" s="65" customFormat="1" ht="26.25" customHeight="1" thickBot="1">
      <c r="A4" s="164" t="s">
        <v>483</v>
      </c>
      <c r="B4" s="165" t="s">
        <v>32</v>
      </c>
      <c r="C4" s="178" t="s">
        <v>139</v>
      </c>
      <c r="D4" s="177" t="s">
        <v>2</v>
      </c>
      <c r="E4" s="177" t="s">
        <v>140</v>
      </c>
      <c r="F4" s="178" t="s">
        <v>35</v>
      </c>
      <c r="G4" s="178" t="s">
        <v>320</v>
      </c>
    </row>
    <row r="5" spans="1:8" ht="13.5" thickBot="1">
      <c r="A5" s="186"/>
      <c r="B5" s="187" t="s">
        <v>322</v>
      </c>
      <c r="C5" s="28">
        <f>SUM(C6:C36)</f>
        <v>0</v>
      </c>
      <c r="D5" s="169"/>
      <c r="E5" s="170"/>
      <c r="F5" s="222" t="s">
        <v>316</v>
      </c>
      <c r="G5" s="226">
        <f>SUM(G6:G36)</f>
        <v>0</v>
      </c>
      <c r="H5" s="68"/>
    </row>
    <row r="6" spans="1:8">
      <c r="A6" s="29"/>
      <c r="B6" s="53" t="str">
        <f>IF(ISBLANK(A6),"",VLOOKUP(A6,Management!$A$11:$C$25,2,0))</f>
        <v/>
      </c>
      <c r="C6" s="59"/>
      <c r="D6" s="19"/>
      <c r="E6" s="19"/>
      <c r="F6" s="223"/>
      <c r="G6" s="221" t="str">
        <f>IF(ISBLANK(A6),"",IF(OR(ISBLANK(C6),ISBLANK(D6),ISBLANK(E6),ISBLANK(F6)),"Missing data",F6))</f>
        <v/>
      </c>
    </row>
    <row r="7" spans="1:8">
      <c r="A7" s="32"/>
      <c r="B7" s="54" t="str">
        <f>IF(ISBLANK(A7),"",VLOOKUP(A7,Management!$A$11:$C$25,2,0))</f>
        <v/>
      </c>
      <c r="C7" s="61"/>
      <c r="D7" s="21"/>
      <c r="E7" s="21"/>
      <c r="F7" s="224"/>
      <c r="G7" s="93" t="str">
        <f t="shared" ref="G7:G36" si="0">IF(ISBLANK(A7),"",IF(OR(ISBLANK(C7),ISBLANK(D7),ISBLANK(E7),ISBLANK(F7)),"Missing data",F7))</f>
        <v/>
      </c>
    </row>
    <row r="8" spans="1:8">
      <c r="A8" s="32"/>
      <c r="B8" s="54" t="str">
        <f>IF(ISBLANK(A8),"",VLOOKUP(A8,Management!$A$11:$C$25,2,0))</f>
        <v/>
      </c>
      <c r="C8" s="61"/>
      <c r="D8" s="21"/>
      <c r="E8" s="21"/>
      <c r="F8" s="224"/>
      <c r="G8" s="93" t="str">
        <f t="shared" si="0"/>
        <v/>
      </c>
    </row>
    <row r="9" spans="1:8">
      <c r="A9" s="32"/>
      <c r="B9" s="54" t="str">
        <f>IF(ISBLANK(A9),"",VLOOKUP(A9,Management!$A$11:$C$25,2,0))</f>
        <v/>
      </c>
      <c r="C9" s="61"/>
      <c r="D9" s="21"/>
      <c r="E9" s="21"/>
      <c r="F9" s="224"/>
      <c r="G9" s="93" t="str">
        <f t="shared" si="0"/>
        <v/>
      </c>
    </row>
    <row r="10" spans="1:8">
      <c r="A10" s="32"/>
      <c r="B10" s="54" t="str">
        <f>IF(ISBLANK(A10),"",VLOOKUP(A10,Management!$A$11:$C$25,2,0))</f>
        <v/>
      </c>
      <c r="C10" s="61"/>
      <c r="D10" s="21"/>
      <c r="E10" s="21"/>
      <c r="F10" s="224"/>
      <c r="G10" s="93" t="str">
        <f t="shared" si="0"/>
        <v/>
      </c>
    </row>
    <row r="11" spans="1:8">
      <c r="A11" s="32"/>
      <c r="B11" s="54" t="str">
        <f>IF(ISBLANK(A11),"",VLOOKUP(A11,Management!$A$11:$C$25,2,0))</f>
        <v/>
      </c>
      <c r="C11" s="61"/>
      <c r="D11" s="21"/>
      <c r="E11" s="21"/>
      <c r="F11" s="224"/>
      <c r="G11" s="93" t="str">
        <f t="shared" si="0"/>
        <v/>
      </c>
    </row>
    <row r="12" spans="1:8">
      <c r="A12" s="32"/>
      <c r="B12" s="54" t="str">
        <f>IF(ISBLANK(A12),"",VLOOKUP(A12,Management!$A$11:$C$25,2,0))</f>
        <v/>
      </c>
      <c r="C12" s="61"/>
      <c r="D12" s="21"/>
      <c r="E12" s="21"/>
      <c r="F12" s="224"/>
      <c r="G12" s="93" t="str">
        <f t="shared" si="0"/>
        <v/>
      </c>
    </row>
    <row r="13" spans="1:8">
      <c r="A13" s="32"/>
      <c r="B13" s="54" t="str">
        <f>IF(ISBLANK(A13),"",VLOOKUP(A13,Management!$A$11:$C$25,2,0))</f>
        <v/>
      </c>
      <c r="C13" s="61"/>
      <c r="D13" s="21"/>
      <c r="E13" s="21"/>
      <c r="F13" s="224"/>
      <c r="G13" s="93" t="str">
        <f t="shared" si="0"/>
        <v/>
      </c>
    </row>
    <row r="14" spans="1:8">
      <c r="A14" s="32"/>
      <c r="B14" s="54" t="str">
        <f>IF(ISBLANK(A14),"",VLOOKUP(A14,Management!$A$11:$C$25,2,0))</f>
        <v/>
      </c>
      <c r="C14" s="61"/>
      <c r="D14" s="21"/>
      <c r="E14" s="21"/>
      <c r="F14" s="224"/>
      <c r="G14" s="93" t="str">
        <f t="shared" si="0"/>
        <v/>
      </c>
    </row>
    <row r="15" spans="1:8">
      <c r="A15" s="32"/>
      <c r="B15" s="54" t="str">
        <f>IF(ISBLANK(A15),"",VLOOKUP(A15,Management!$A$11:$C$25,2,0))</f>
        <v/>
      </c>
      <c r="C15" s="61"/>
      <c r="D15" s="21"/>
      <c r="E15" s="21"/>
      <c r="F15" s="224"/>
      <c r="G15" s="93" t="str">
        <f t="shared" si="0"/>
        <v/>
      </c>
    </row>
    <row r="16" spans="1:8">
      <c r="A16" s="32"/>
      <c r="B16" s="54" t="str">
        <f>IF(ISBLANK(A16),"",VLOOKUP(A16,Management!$A$11:$C$25,2,0))</f>
        <v/>
      </c>
      <c r="C16" s="61"/>
      <c r="D16" s="21"/>
      <c r="E16" s="21"/>
      <c r="F16" s="224"/>
      <c r="G16" s="93" t="str">
        <f t="shared" si="0"/>
        <v/>
      </c>
    </row>
    <row r="17" spans="1:7">
      <c r="A17" s="32"/>
      <c r="B17" s="54" t="str">
        <f>IF(ISBLANK(A17),"",VLOOKUP(A17,Management!$A$11:$C$25,2,0))</f>
        <v/>
      </c>
      <c r="C17" s="61"/>
      <c r="D17" s="21"/>
      <c r="E17" s="21"/>
      <c r="F17" s="224"/>
      <c r="G17" s="93" t="str">
        <f t="shared" si="0"/>
        <v/>
      </c>
    </row>
    <row r="18" spans="1:7">
      <c r="A18" s="32"/>
      <c r="B18" s="54" t="str">
        <f>IF(ISBLANK(A18),"",VLOOKUP(A18,Management!$A$11:$C$25,2,0))</f>
        <v/>
      </c>
      <c r="C18" s="61"/>
      <c r="D18" s="21"/>
      <c r="E18" s="21"/>
      <c r="F18" s="224"/>
      <c r="G18" s="93" t="str">
        <f t="shared" si="0"/>
        <v/>
      </c>
    </row>
    <row r="19" spans="1:7">
      <c r="A19" s="32"/>
      <c r="B19" s="54" t="str">
        <f>IF(ISBLANK(A19),"",VLOOKUP(A19,Management!$A$11:$C$25,2,0))</f>
        <v/>
      </c>
      <c r="C19" s="61"/>
      <c r="D19" s="21"/>
      <c r="E19" s="21"/>
      <c r="F19" s="224"/>
      <c r="G19" s="93" t="str">
        <f t="shared" si="0"/>
        <v/>
      </c>
    </row>
    <row r="20" spans="1:7">
      <c r="A20" s="32"/>
      <c r="B20" s="54" t="str">
        <f>IF(ISBLANK(A20),"",VLOOKUP(A20,Management!$A$11:$C$25,2,0))</f>
        <v/>
      </c>
      <c r="C20" s="61"/>
      <c r="D20" s="21"/>
      <c r="E20" s="21"/>
      <c r="F20" s="224"/>
      <c r="G20" s="93" t="str">
        <f t="shared" si="0"/>
        <v/>
      </c>
    </row>
    <row r="21" spans="1:7">
      <c r="A21" s="32"/>
      <c r="B21" s="54" t="str">
        <f>IF(ISBLANK(A21),"",VLOOKUP(A21,Management!$A$11:$C$25,2,0))</f>
        <v/>
      </c>
      <c r="C21" s="61"/>
      <c r="D21" s="21"/>
      <c r="E21" s="21"/>
      <c r="F21" s="224"/>
      <c r="G21" s="93" t="str">
        <f t="shared" si="0"/>
        <v/>
      </c>
    </row>
    <row r="22" spans="1:7">
      <c r="A22" s="32"/>
      <c r="B22" s="54" t="str">
        <f>IF(ISBLANK(A22),"",VLOOKUP(A22,Management!$A$11:$C$25,2,0))</f>
        <v/>
      </c>
      <c r="C22" s="61"/>
      <c r="D22" s="21"/>
      <c r="E22" s="21"/>
      <c r="F22" s="224"/>
      <c r="G22" s="93" t="str">
        <f t="shared" si="0"/>
        <v/>
      </c>
    </row>
    <row r="23" spans="1:7">
      <c r="A23" s="32"/>
      <c r="B23" s="54" t="str">
        <f>IF(ISBLANK(A23),"",VLOOKUP(A23,Management!$A$11:$C$25,2,0))</f>
        <v/>
      </c>
      <c r="C23" s="61"/>
      <c r="D23" s="21"/>
      <c r="E23" s="21"/>
      <c r="F23" s="224"/>
      <c r="G23" s="93" t="str">
        <f t="shared" si="0"/>
        <v/>
      </c>
    </row>
    <row r="24" spans="1:7">
      <c r="A24" s="32"/>
      <c r="B24" s="54" t="str">
        <f>IF(ISBLANK(A24),"",VLOOKUP(A24,Management!$A$11:$C$25,2,0))</f>
        <v/>
      </c>
      <c r="C24" s="61"/>
      <c r="D24" s="21"/>
      <c r="E24" s="21"/>
      <c r="F24" s="224"/>
      <c r="G24" s="93" t="str">
        <f t="shared" si="0"/>
        <v/>
      </c>
    </row>
    <row r="25" spans="1:7">
      <c r="A25" s="32"/>
      <c r="B25" s="54" t="str">
        <f>IF(ISBLANK(A25),"",VLOOKUP(A25,Management!$A$11:$C$25,2,0))</f>
        <v/>
      </c>
      <c r="C25" s="61"/>
      <c r="D25" s="21"/>
      <c r="E25" s="21"/>
      <c r="F25" s="224"/>
      <c r="G25" s="93" t="str">
        <f t="shared" si="0"/>
        <v/>
      </c>
    </row>
    <row r="26" spans="1:7">
      <c r="A26" s="32"/>
      <c r="B26" s="54" t="str">
        <f>IF(ISBLANK(A26),"",VLOOKUP(A26,Management!$A$11:$C$25,2,0))</f>
        <v/>
      </c>
      <c r="C26" s="61"/>
      <c r="D26" s="21"/>
      <c r="E26" s="21"/>
      <c r="F26" s="224"/>
      <c r="G26" s="93" t="str">
        <f t="shared" si="0"/>
        <v/>
      </c>
    </row>
    <row r="27" spans="1:7">
      <c r="A27" s="32"/>
      <c r="B27" s="54" t="str">
        <f>IF(ISBLANK(A27),"",VLOOKUP(A27,Management!$A$11:$C$25,2,0))</f>
        <v/>
      </c>
      <c r="C27" s="61"/>
      <c r="D27" s="21"/>
      <c r="E27" s="21"/>
      <c r="F27" s="224"/>
      <c r="G27" s="93" t="str">
        <f t="shared" si="0"/>
        <v/>
      </c>
    </row>
    <row r="28" spans="1:7">
      <c r="A28" s="32"/>
      <c r="B28" s="54" t="str">
        <f>IF(ISBLANK(A28),"",VLOOKUP(A28,Management!$A$11:$C$25,2,0))</f>
        <v/>
      </c>
      <c r="C28" s="61"/>
      <c r="D28" s="21"/>
      <c r="E28" s="21"/>
      <c r="F28" s="224"/>
      <c r="G28" s="93" t="str">
        <f t="shared" si="0"/>
        <v/>
      </c>
    </row>
    <row r="29" spans="1:7">
      <c r="A29" s="32"/>
      <c r="B29" s="54" t="str">
        <f>IF(ISBLANK(A29),"",VLOOKUP(A29,Management!$A$11:$C$25,2,0))</f>
        <v/>
      </c>
      <c r="C29" s="61"/>
      <c r="D29" s="21"/>
      <c r="E29" s="21"/>
      <c r="F29" s="224"/>
      <c r="G29" s="93" t="str">
        <f t="shared" si="0"/>
        <v/>
      </c>
    </row>
    <row r="30" spans="1:7">
      <c r="A30" s="32"/>
      <c r="B30" s="54" t="str">
        <f>IF(ISBLANK(A30),"",VLOOKUP(A30,Management!$A$11:$C$25,2,0))</f>
        <v/>
      </c>
      <c r="C30" s="61"/>
      <c r="D30" s="21"/>
      <c r="E30" s="21"/>
      <c r="F30" s="224"/>
      <c r="G30" s="93" t="str">
        <f t="shared" si="0"/>
        <v/>
      </c>
    </row>
    <row r="31" spans="1:7">
      <c r="A31" s="32"/>
      <c r="B31" s="54" t="str">
        <f>IF(ISBLANK(A31),"",VLOOKUP(A31,Management!$A$11:$C$25,2,0))</f>
        <v/>
      </c>
      <c r="C31" s="61"/>
      <c r="D31" s="21"/>
      <c r="E31" s="21"/>
      <c r="F31" s="224"/>
      <c r="G31" s="93" t="str">
        <f t="shared" si="0"/>
        <v/>
      </c>
    </row>
    <row r="32" spans="1:7">
      <c r="A32" s="32"/>
      <c r="B32" s="54" t="str">
        <f>IF(ISBLANK(A32),"",VLOOKUP(A32,Management!$A$11:$C$25,2,0))</f>
        <v/>
      </c>
      <c r="C32" s="61"/>
      <c r="D32" s="21"/>
      <c r="E32" s="21"/>
      <c r="F32" s="224"/>
      <c r="G32" s="93" t="str">
        <f t="shared" si="0"/>
        <v/>
      </c>
    </row>
    <row r="33" spans="1:7">
      <c r="A33" s="32"/>
      <c r="B33" s="54" t="str">
        <f>IF(ISBLANK(A33),"",VLOOKUP(A33,Management!$A$11:$C$25,2,0))</f>
        <v/>
      </c>
      <c r="C33" s="61"/>
      <c r="D33" s="21"/>
      <c r="E33" s="21"/>
      <c r="F33" s="224"/>
      <c r="G33" s="93" t="str">
        <f t="shared" si="0"/>
        <v/>
      </c>
    </row>
    <row r="34" spans="1:7">
      <c r="A34" s="32"/>
      <c r="B34" s="54" t="str">
        <f>IF(ISBLANK(A34),"",VLOOKUP(A34,Management!$A$11:$C$25,2,0))</f>
        <v/>
      </c>
      <c r="C34" s="61"/>
      <c r="D34" s="21"/>
      <c r="E34" s="21"/>
      <c r="F34" s="224"/>
      <c r="G34" s="93" t="str">
        <f t="shared" si="0"/>
        <v/>
      </c>
    </row>
    <row r="35" spans="1:7">
      <c r="A35" s="32"/>
      <c r="B35" s="54" t="str">
        <f>IF(ISBLANK(A35),"",VLOOKUP(A35,Management!$A$11:$C$25,2,0))</f>
        <v/>
      </c>
      <c r="C35" s="61"/>
      <c r="D35" s="21"/>
      <c r="E35" s="21"/>
      <c r="F35" s="224"/>
      <c r="G35" s="93" t="str">
        <f t="shared" si="0"/>
        <v/>
      </c>
    </row>
    <row r="36" spans="1:7" ht="13.5" thickBot="1">
      <c r="A36" s="35"/>
      <c r="B36" s="36" t="str">
        <f>IF(ISBLANK(A36),"",VLOOKUP(A36,Management!$A$11:$C$25,2,0))</f>
        <v/>
      </c>
      <c r="C36" s="63"/>
      <c r="D36" s="25"/>
      <c r="E36" s="25"/>
      <c r="F36" s="225"/>
      <c r="G36" s="97" t="str">
        <f t="shared" si="0"/>
        <v/>
      </c>
    </row>
  </sheetData>
  <sheetProtection password="CBC2" sheet="1" objects="1" scenarios="1" sort="0" autoFilter="0"/>
  <phoneticPr fontId="7" type="noConversion"/>
  <dataValidations disablePrompts="1" count="1">
    <dataValidation type="list" allowBlank="1" showInputMessage="1" showErrorMessage="1" sqref="A6:A36">
      <formula1>Partners</formula1>
    </dataValidation>
  </dataValidations>
  <printOptions horizontalCentered="1"/>
  <pageMargins left="0.78740157480314965" right="0.78740157480314965" top="0.8125" bottom="0.62992125984251968" header="0.51181102362204722" footer="0.51181102362204722"/>
  <pageSetup paperSize="9" scale="98" orientation="landscape" r:id="rId1"/>
  <headerFooter>
    <oddHeader>&amp;C&amp;11 2017. E+ KA202&amp;RVersion: 2017.02.16. - TKA</oddHeader>
    <oddFooter>&amp;C&amp;"Arial,Félkövér"&amp;A</oddFooter>
  </headerFooter>
  <rowBreaks count="1" manualBreakCount="1">
    <brk id="3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52"/>
    <pageSetUpPr fitToPage="1"/>
  </sheetPr>
  <dimension ref="A1:J22"/>
  <sheetViews>
    <sheetView zoomScale="120" zoomScaleNormal="120" zoomScaleSheetLayoutView="100" zoomScalePageLayoutView="120" workbookViewId="0">
      <selection activeCell="C1" sqref="C1:I1"/>
    </sheetView>
  </sheetViews>
  <sheetFormatPr defaultColWidth="8.85546875" defaultRowHeight="12.75"/>
  <cols>
    <col min="1" max="1" width="13.42578125" style="99" customWidth="1"/>
    <col min="2" max="2" width="12.85546875" style="46" customWidth="1"/>
    <col min="3" max="7" width="11.42578125" style="46" customWidth="1"/>
    <col min="8" max="8" width="11.42578125" style="46" bestFit="1" customWidth="1"/>
    <col min="9" max="9" width="11.42578125" style="46" customWidth="1"/>
    <col min="10" max="10" width="32.28515625" style="7" customWidth="1"/>
    <col min="11" max="16384" width="8.85546875" style="46"/>
  </cols>
  <sheetData>
    <row r="1" spans="1:10" s="81" customFormat="1" ht="15.75" customHeight="1">
      <c r="A1" s="590" t="s">
        <v>48</v>
      </c>
      <c r="B1" s="590"/>
      <c r="C1" s="591" t="str">
        <f>IF(ISBLANK(Overview!C3),"",Overview!C3)</f>
        <v/>
      </c>
      <c r="D1" s="591"/>
      <c r="E1" s="591"/>
      <c r="F1" s="591"/>
      <c r="G1" s="591"/>
      <c r="H1" s="591"/>
      <c r="I1" s="591"/>
      <c r="J1" s="7"/>
    </row>
    <row r="2" spans="1:10" s="81" customFormat="1" ht="15.75">
      <c r="A2" s="149" t="s">
        <v>0</v>
      </c>
      <c r="B2" s="148"/>
      <c r="C2" s="148"/>
      <c r="D2" s="148"/>
      <c r="E2" s="148"/>
      <c r="F2" s="148"/>
      <c r="G2" s="148"/>
      <c r="H2" s="148"/>
      <c r="I2" s="208"/>
      <c r="J2" s="7"/>
    </row>
    <row r="3" spans="1:10" s="3" customFormat="1" ht="12.75" customHeight="1" thickBot="1">
      <c r="A3" s="148"/>
      <c r="B3" s="148"/>
      <c r="C3" s="148"/>
      <c r="D3" s="148"/>
      <c r="E3" s="148"/>
      <c r="F3" s="148"/>
      <c r="G3" s="148"/>
      <c r="H3" s="148"/>
      <c r="I3" s="148"/>
    </row>
    <row r="4" spans="1:10" s="49" customFormat="1" ht="13.5" thickBot="1">
      <c r="A4" s="592" t="s">
        <v>130</v>
      </c>
      <c r="B4" s="593"/>
      <c r="C4" s="593"/>
      <c r="D4" s="593"/>
      <c r="E4" s="593"/>
      <c r="F4" s="593"/>
      <c r="G4" s="593"/>
      <c r="H4" s="593"/>
      <c r="I4" s="594"/>
      <c r="J4" s="82"/>
    </row>
    <row r="5" spans="1:10" s="47" customFormat="1" ht="51.75" thickBot="1">
      <c r="A5" s="204" t="s">
        <v>483</v>
      </c>
      <c r="B5" s="153" t="s">
        <v>109</v>
      </c>
      <c r="C5" s="205" t="s">
        <v>127</v>
      </c>
      <c r="D5" s="205" t="s">
        <v>129</v>
      </c>
      <c r="E5" s="205" t="s">
        <v>147</v>
      </c>
      <c r="F5" s="206" t="s">
        <v>110</v>
      </c>
      <c r="G5" s="205" t="s">
        <v>128</v>
      </c>
      <c r="H5" s="205" t="s">
        <v>111</v>
      </c>
      <c r="I5" s="205" t="s">
        <v>131</v>
      </c>
      <c r="J5" s="451" t="str">
        <f>IF(F22&gt;100,"ERROR: The total number of participants in transnational training, teaching and learning activities is over the limit (100)!","")</f>
        <v/>
      </c>
    </row>
    <row r="6" spans="1:10" s="85" customFormat="1" ht="13.5" thickBot="1">
      <c r="A6" s="207" t="s">
        <v>326</v>
      </c>
      <c r="B6" s="249">
        <f>IF(Management!F5="",Management!E5,"ERROR")</f>
        <v>0</v>
      </c>
      <c r="C6" s="249">
        <f>IF('Partner meetings'!K6="",'Partner meetings'!J6,"ERROR")</f>
        <v>0</v>
      </c>
      <c r="D6" s="249">
        <f>'Intellectual outputs'!E7</f>
        <v>0</v>
      </c>
      <c r="E6" s="249">
        <f>IF('Multiplier events'!I5="",'Multiplier events'!H5,"ERROR")</f>
        <v>0</v>
      </c>
      <c r="F6" s="249">
        <f>'VET Transnat. training-teaching'!$T$6+'SE Transnat. training-teaching'!$T$6+'Youth Transnat. training-teach'!$T$6+'AE Transnat. training-teaching'!$T$6+'HE Transnat. training-teaching'!$T$6</f>
        <v>0</v>
      </c>
      <c r="G6" s="249">
        <f>IF('Exceptional costs'!G5="",'Exceptional costs'!F5,"ERROR")</f>
        <v>0</v>
      </c>
      <c r="H6" s="249">
        <f>'Special needs'!G5</f>
        <v>0</v>
      </c>
      <c r="I6" s="250">
        <f>IF(SUM(B6:H6)&lt;&gt;SUM(I7:I21),"ERROR",SUM(I7:I21))</f>
        <v>0</v>
      </c>
      <c r="J6" s="84" t="str">
        <f>IF(SUM(I7:I21)&gt;Overview!C13,"ERROR: Grant calculated is over the limit!","")</f>
        <v/>
      </c>
    </row>
    <row r="7" spans="1:10" s="85" customFormat="1">
      <c r="A7" s="86" t="str">
        <f>IF(ISBLANK(Management!A11),"",Management!A11)</f>
        <v/>
      </c>
      <c r="B7" s="87" t="str">
        <f>Management!E11</f>
        <v/>
      </c>
      <c r="C7" s="87">
        <f>SUMIF('Partner meetings'!$A$7:$A$108,A7,'Partner meetings'!$J$7:$J$108)</f>
        <v>0</v>
      </c>
      <c r="D7" s="87">
        <f>SUMIF('Intellectual outputs'!$A$8:$A$109,A7,'Intellectual outputs'!$E$8:$E$109)</f>
        <v>0</v>
      </c>
      <c r="E7" s="88">
        <f>SUMIF('Multiplier events'!$A$6:$A$36,A7,'Multiplier events'!$H$6:$H$36)</f>
        <v>0</v>
      </c>
      <c r="F7" s="88">
        <f>SUMIF('VET Transnat. training-teaching'!$A$7:$A$37,$A7,'VET Transnat. training-teaching'!$T$7:$T$37)+SUMIF('SE Transnat. training-teaching'!$A$7:$A$37,$A7,'SE Transnat. training-teaching'!$T$7:$T$37) +SUMIF('Youth Transnat. training-teach'!$A$7:$A$37,$A7,'Youth Transnat. training-teach'!$T$7:$T$37) +SUMIF('AE Transnat. training-teaching'!$A$7:$A$37,$A7,'AE Transnat. training-teaching'!$T$7:$T$37) +SUMIF('HE Transnat. training-teaching'!$A$7:$A$37,$A7,'HE Transnat. training-teaching'!$T$7:$T$37)</f>
        <v>0</v>
      </c>
      <c r="G7" s="88">
        <f>SUMIF('Exceptional costs'!$A$6:$A$36,A7,'Exceptional costs'!$F$6:$F$36)</f>
        <v>0</v>
      </c>
      <c r="H7" s="88">
        <f>SUMIF('Special needs'!$A$6:$A$36,A7,'Special needs'!$G$6:$G$36)</f>
        <v>0</v>
      </c>
      <c r="I7" s="89">
        <f t="shared" ref="I7:I21" si="0">SUM(B7:H7)</f>
        <v>0</v>
      </c>
      <c r="J7" s="90"/>
    </row>
    <row r="8" spans="1:10" s="85" customFormat="1">
      <c r="A8" s="91" t="str">
        <f>IF(ISBLANK(Management!A12),"",Management!A12)</f>
        <v/>
      </c>
      <c r="B8" s="92" t="str">
        <f>Management!E12</f>
        <v/>
      </c>
      <c r="C8" s="87">
        <f>SUMIF('Partner meetings'!$A$7:$A$108,A8,'Partner meetings'!$J$7:$J$108)</f>
        <v>0</v>
      </c>
      <c r="D8" s="92">
        <f>SUMIF('Intellectual outputs'!$A$8:$A$109,A8,'Intellectual outputs'!$E$8:$E$109)</f>
        <v>0</v>
      </c>
      <c r="E8" s="93">
        <f>SUMIF('Multiplier events'!$A$6:$A$36,A8,'Multiplier events'!$H$6:$H$36)</f>
        <v>0</v>
      </c>
      <c r="F8" s="93">
        <f>SUMIF('VET Transnat. training-teaching'!$A$7:$A$37,$A8,'VET Transnat. training-teaching'!$T$7:$T$37)+SUMIF('SE Transnat. training-teaching'!$A$7:$A$37,$A8,'SE Transnat. training-teaching'!$T$7:$T$37) +SUMIF('Youth Transnat. training-teach'!$A$7:$A$37,$A8,'Youth Transnat. training-teach'!$T$7:$T$37) +SUMIF('AE Transnat. training-teaching'!$A$7:$A$37,$A8,'AE Transnat. training-teaching'!$T$7:$T$37) +SUMIF('HE Transnat. training-teaching'!$A$7:$A$37,$A8,'HE Transnat. training-teaching'!$T$7:$T$37)</f>
        <v>0</v>
      </c>
      <c r="G8" s="93">
        <f>SUMIF('Exceptional costs'!$A$6:$A$36,A8,'Exceptional costs'!$F$6:$F$36)</f>
        <v>0</v>
      </c>
      <c r="H8" s="93">
        <f>SUMIF('Special needs'!$A$6:$A$36,A8,'Special needs'!$G$6:$G$36)</f>
        <v>0</v>
      </c>
      <c r="I8" s="94">
        <f t="shared" si="0"/>
        <v>0</v>
      </c>
      <c r="J8" s="90"/>
    </row>
    <row r="9" spans="1:10" s="85" customFormat="1">
      <c r="A9" s="91" t="str">
        <f>IF(ISBLANK(Management!A13),"",Management!A13)</f>
        <v/>
      </c>
      <c r="B9" s="92" t="str">
        <f>Management!E13</f>
        <v/>
      </c>
      <c r="C9" s="87">
        <f>SUMIF('Partner meetings'!$A$7:$A$108,A9,'Partner meetings'!$J$7:$J$108)</f>
        <v>0</v>
      </c>
      <c r="D9" s="92">
        <f>SUMIF('Intellectual outputs'!$A$8:$A$109,A9,'Intellectual outputs'!$E$8:$E$109)</f>
        <v>0</v>
      </c>
      <c r="E9" s="93">
        <f>SUMIF('Multiplier events'!$A$6:$A$36,A9,'Multiplier events'!$H$6:$H$36)</f>
        <v>0</v>
      </c>
      <c r="F9" s="93">
        <f>SUMIF('VET Transnat. training-teaching'!$A$7:$A$37,$A9,'VET Transnat. training-teaching'!$T$7:$T$37)+SUMIF('SE Transnat. training-teaching'!$A$7:$A$37,$A9,'SE Transnat. training-teaching'!$T$7:$T$37) +SUMIF('Youth Transnat. training-teach'!$A$7:$A$37,$A9,'Youth Transnat. training-teach'!$T$7:$T$37) +SUMIF('AE Transnat. training-teaching'!$A$7:$A$37,$A9,'AE Transnat. training-teaching'!$T$7:$T$37) +SUMIF('HE Transnat. training-teaching'!$A$7:$A$37,$A9,'HE Transnat. training-teaching'!$T$7:$T$37)</f>
        <v>0</v>
      </c>
      <c r="G9" s="93">
        <f>SUMIF('Exceptional costs'!$A$6:$A$36,A9,'Exceptional costs'!$F$6:$F$36)</f>
        <v>0</v>
      </c>
      <c r="H9" s="93">
        <f>SUMIF('Special needs'!$A$6:$A$36,A9,'Special needs'!$G$6:$G$36)</f>
        <v>0</v>
      </c>
      <c r="I9" s="94">
        <f t="shared" si="0"/>
        <v>0</v>
      </c>
      <c r="J9" s="90"/>
    </row>
    <row r="10" spans="1:10" s="85" customFormat="1">
      <c r="A10" s="91" t="str">
        <f>IF(ISBLANK(Management!A14),"",Management!A14)</f>
        <v/>
      </c>
      <c r="B10" s="92" t="str">
        <f>Management!E14</f>
        <v/>
      </c>
      <c r="C10" s="87">
        <f>SUMIF('Partner meetings'!$A$7:$A$108,A10,'Partner meetings'!$J$7:$J$108)</f>
        <v>0</v>
      </c>
      <c r="D10" s="92">
        <f>SUMIF('Intellectual outputs'!$A$8:$A$109,A10,'Intellectual outputs'!$E$8:$E$109)</f>
        <v>0</v>
      </c>
      <c r="E10" s="93">
        <f>SUMIF('Multiplier events'!$A$6:$A$36,A10,'Multiplier events'!$H$6:$H$36)</f>
        <v>0</v>
      </c>
      <c r="F10" s="93">
        <f>SUMIF('VET Transnat. training-teaching'!$A$7:$A$37,$A10,'VET Transnat. training-teaching'!$T$7:$T$37)+SUMIF('SE Transnat. training-teaching'!$A$7:$A$37,$A10,'SE Transnat. training-teaching'!$T$7:$T$37) +SUMIF('Youth Transnat. training-teach'!$A$7:$A$37,$A10,'Youth Transnat. training-teach'!$T$7:$T$37) +SUMIF('AE Transnat. training-teaching'!$A$7:$A$37,$A10,'AE Transnat. training-teaching'!$T$7:$T$37) +SUMIF('HE Transnat. training-teaching'!$A$7:$A$37,$A10,'HE Transnat. training-teaching'!$T$7:$T$37)</f>
        <v>0</v>
      </c>
      <c r="G10" s="93">
        <f>SUMIF('Exceptional costs'!$A$6:$A$36,A10,'Exceptional costs'!$F$6:$F$36)</f>
        <v>0</v>
      </c>
      <c r="H10" s="93">
        <f>SUMIF('Special needs'!$A$6:$A$36,A10,'Special needs'!$G$6:$G$36)</f>
        <v>0</v>
      </c>
      <c r="I10" s="94">
        <f t="shared" si="0"/>
        <v>0</v>
      </c>
      <c r="J10" s="90"/>
    </row>
    <row r="11" spans="1:10" s="85" customFormat="1">
      <c r="A11" s="91" t="str">
        <f>IF(ISBLANK(Management!A15),"",Management!A15)</f>
        <v/>
      </c>
      <c r="B11" s="92" t="str">
        <f>Management!E15</f>
        <v/>
      </c>
      <c r="C11" s="87">
        <f>SUMIF('Partner meetings'!$A$7:$A$108,A11,'Partner meetings'!$J$7:$J$108)</f>
        <v>0</v>
      </c>
      <c r="D11" s="92">
        <f>SUMIF('Intellectual outputs'!$A$8:$A$109,A11,'Intellectual outputs'!$E$8:$E$109)</f>
        <v>0</v>
      </c>
      <c r="E11" s="93">
        <f>SUMIF('Multiplier events'!$A$6:$A$36,A11,'Multiplier events'!$H$6:$H$36)</f>
        <v>0</v>
      </c>
      <c r="F11" s="93">
        <f>SUMIF('VET Transnat. training-teaching'!$A$7:$A$37,$A11,'VET Transnat. training-teaching'!$T$7:$T$37)+SUMIF('SE Transnat. training-teaching'!$A$7:$A$37,$A11,'SE Transnat. training-teaching'!$T$7:$T$37) +SUMIF('Youth Transnat. training-teach'!$A$7:$A$37,$A11,'Youth Transnat. training-teach'!$T$7:$T$37) +SUMIF('AE Transnat. training-teaching'!$A$7:$A$37,$A11,'AE Transnat. training-teaching'!$T$7:$T$37) +SUMIF('HE Transnat. training-teaching'!$A$7:$A$37,$A11,'HE Transnat. training-teaching'!$T$7:$T$37)</f>
        <v>0</v>
      </c>
      <c r="G11" s="93">
        <f>SUMIF('Exceptional costs'!$A$6:$A$36,A11,'Exceptional costs'!$F$6:$F$36)</f>
        <v>0</v>
      </c>
      <c r="H11" s="93">
        <f>SUMIF('Special needs'!$A$6:$A$36,A11,'Special needs'!$G$6:$G$36)</f>
        <v>0</v>
      </c>
      <c r="I11" s="94">
        <f t="shared" si="0"/>
        <v>0</v>
      </c>
      <c r="J11" s="90"/>
    </row>
    <row r="12" spans="1:10" s="85" customFormat="1">
      <c r="A12" s="91" t="str">
        <f>IF(ISBLANK(Management!A16),"",Management!A16)</f>
        <v/>
      </c>
      <c r="B12" s="92" t="str">
        <f>Management!E16</f>
        <v/>
      </c>
      <c r="C12" s="87">
        <f>SUMIF('Partner meetings'!$A$7:$A$108,A12,'Partner meetings'!$J$7:$J$108)</f>
        <v>0</v>
      </c>
      <c r="D12" s="92">
        <f>SUMIF('Intellectual outputs'!$A$8:$A$109,A12,'Intellectual outputs'!$E$8:$E$109)</f>
        <v>0</v>
      </c>
      <c r="E12" s="93">
        <f>SUMIF('Multiplier events'!$A$6:$A$36,A12,'Multiplier events'!$H$6:$H$36)</f>
        <v>0</v>
      </c>
      <c r="F12" s="93">
        <f>SUMIF('VET Transnat. training-teaching'!$A$7:$A$37,$A12,'VET Transnat. training-teaching'!$T$7:$T$37)+SUMIF('SE Transnat. training-teaching'!$A$7:$A$37,$A12,'SE Transnat. training-teaching'!$T$7:$T$37) +SUMIF('Youth Transnat. training-teach'!$A$7:$A$37,$A12,'Youth Transnat. training-teach'!$T$7:$T$37) +SUMIF('AE Transnat. training-teaching'!$A$7:$A$37,$A12,'AE Transnat. training-teaching'!$T$7:$T$37) +SUMIF('HE Transnat. training-teaching'!$A$7:$A$37,$A12,'HE Transnat. training-teaching'!$T$7:$T$37)</f>
        <v>0</v>
      </c>
      <c r="G12" s="93">
        <f>SUMIF('Exceptional costs'!$A$6:$A$36,A12,'Exceptional costs'!$F$6:$F$36)</f>
        <v>0</v>
      </c>
      <c r="H12" s="93">
        <f>SUMIF('Special needs'!$A$6:$A$36,A12,'Special needs'!$G$6:$G$36)</f>
        <v>0</v>
      </c>
      <c r="I12" s="94">
        <f t="shared" si="0"/>
        <v>0</v>
      </c>
      <c r="J12" s="90"/>
    </row>
    <row r="13" spans="1:10" s="85" customFormat="1">
      <c r="A13" s="91" t="str">
        <f>IF(ISBLANK(Management!A17),"",Management!A17)</f>
        <v/>
      </c>
      <c r="B13" s="92" t="str">
        <f>Management!E17</f>
        <v/>
      </c>
      <c r="C13" s="87">
        <f>SUMIF('Partner meetings'!$A$7:$A$108,A13,'Partner meetings'!$J$7:$J$108)</f>
        <v>0</v>
      </c>
      <c r="D13" s="92">
        <f>SUMIF('Intellectual outputs'!$A$8:$A$109,A13,'Intellectual outputs'!$E$8:$E$109)</f>
        <v>0</v>
      </c>
      <c r="E13" s="93">
        <f>SUMIF('Multiplier events'!$A$6:$A$36,A13,'Multiplier events'!$H$6:$H$36)</f>
        <v>0</v>
      </c>
      <c r="F13" s="93">
        <f>SUMIF('VET Transnat. training-teaching'!$A$7:$A$37,$A13,'VET Transnat. training-teaching'!$T$7:$T$37)+SUMIF('SE Transnat. training-teaching'!$A$7:$A$37,$A13,'SE Transnat. training-teaching'!$T$7:$T$37) +SUMIF('Youth Transnat. training-teach'!$A$7:$A$37,$A13,'Youth Transnat. training-teach'!$T$7:$T$37) +SUMIF('AE Transnat. training-teaching'!$A$7:$A$37,$A13,'AE Transnat. training-teaching'!$T$7:$T$37) +SUMIF('HE Transnat. training-teaching'!$A$7:$A$37,$A13,'HE Transnat. training-teaching'!$T$7:$T$37)</f>
        <v>0</v>
      </c>
      <c r="G13" s="93">
        <f>SUMIF('Exceptional costs'!$A$6:$A$36,A13,'Exceptional costs'!$F$6:$F$36)</f>
        <v>0</v>
      </c>
      <c r="H13" s="93">
        <f>SUMIF('Special needs'!$A$6:$A$36,A13,'Special needs'!$G$6:$G$36)</f>
        <v>0</v>
      </c>
      <c r="I13" s="94">
        <f t="shared" si="0"/>
        <v>0</v>
      </c>
      <c r="J13" s="90"/>
    </row>
    <row r="14" spans="1:10" s="85" customFormat="1">
      <c r="A14" s="91" t="str">
        <f>IF(ISBLANK(Management!A18),"",Management!A18)</f>
        <v/>
      </c>
      <c r="B14" s="92" t="str">
        <f>Management!E18</f>
        <v/>
      </c>
      <c r="C14" s="87">
        <f>SUMIF('Partner meetings'!$A$7:$A$108,A14,'Partner meetings'!$J$7:$J$108)</f>
        <v>0</v>
      </c>
      <c r="D14" s="92">
        <f>SUMIF('Intellectual outputs'!$A$8:$A$109,A14,'Intellectual outputs'!$E$8:$E$109)</f>
        <v>0</v>
      </c>
      <c r="E14" s="93">
        <f>SUMIF('Multiplier events'!$A$6:$A$36,A14,'Multiplier events'!$H$6:$H$36)</f>
        <v>0</v>
      </c>
      <c r="F14" s="93">
        <f>SUMIF('VET Transnat. training-teaching'!$A$7:$A$37,$A14,'VET Transnat. training-teaching'!$T$7:$T$37)+SUMIF('SE Transnat. training-teaching'!$A$7:$A$37,$A14,'SE Transnat. training-teaching'!$T$7:$T$37) +SUMIF('Youth Transnat. training-teach'!$A$7:$A$37,$A14,'Youth Transnat. training-teach'!$T$7:$T$37) +SUMIF('AE Transnat. training-teaching'!$A$7:$A$37,$A14,'AE Transnat. training-teaching'!$T$7:$T$37) +SUMIF('HE Transnat. training-teaching'!$A$7:$A$37,$A14,'HE Transnat. training-teaching'!$T$7:$T$37)</f>
        <v>0</v>
      </c>
      <c r="G14" s="93">
        <f>SUMIF('Exceptional costs'!$A$6:$A$36,A14,'Exceptional costs'!$F$6:$F$36)</f>
        <v>0</v>
      </c>
      <c r="H14" s="93">
        <f>SUMIF('Special needs'!$A$6:$A$36,A14,'Special needs'!$G$6:$G$36)</f>
        <v>0</v>
      </c>
      <c r="I14" s="94">
        <f t="shared" si="0"/>
        <v>0</v>
      </c>
      <c r="J14" s="90"/>
    </row>
    <row r="15" spans="1:10" s="85" customFormat="1">
      <c r="A15" s="91" t="str">
        <f>IF(ISBLANK(Management!A19),"",Management!A19)</f>
        <v/>
      </c>
      <c r="B15" s="92" t="str">
        <f>Management!E19</f>
        <v/>
      </c>
      <c r="C15" s="87">
        <f>SUMIF('Partner meetings'!$A$7:$A$108,A15,'Partner meetings'!$J$7:$J$108)</f>
        <v>0</v>
      </c>
      <c r="D15" s="92">
        <f>SUMIF('Intellectual outputs'!$A$8:$A$109,A15,'Intellectual outputs'!$E$8:$E$109)</f>
        <v>0</v>
      </c>
      <c r="E15" s="93">
        <f>SUMIF('Multiplier events'!$A$6:$A$36,A15,'Multiplier events'!$H$6:$H$36)</f>
        <v>0</v>
      </c>
      <c r="F15" s="93">
        <f>SUMIF('VET Transnat. training-teaching'!$A$7:$A$37,$A15,'VET Transnat. training-teaching'!$T$7:$T$37)+SUMIF('SE Transnat. training-teaching'!$A$7:$A$37,$A15,'SE Transnat. training-teaching'!$T$7:$T$37) +SUMIF('Youth Transnat. training-teach'!$A$7:$A$37,$A15,'Youth Transnat. training-teach'!$T$7:$T$37) +SUMIF('AE Transnat. training-teaching'!$A$7:$A$37,$A15,'AE Transnat. training-teaching'!$T$7:$T$37) +SUMIF('HE Transnat. training-teaching'!$A$7:$A$37,$A15,'HE Transnat. training-teaching'!$T$7:$T$37)</f>
        <v>0</v>
      </c>
      <c r="G15" s="93">
        <f>SUMIF('Exceptional costs'!$A$6:$A$36,A15,'Exceptional costs'!$F$6:$F$36)</f>
        <v>0</v>
      </c>
      <c r="H15" s="93">
        <f>SUMIF('Special needs'!$A$6:$A$36,A15,'Special needs'!$G$6:$G$36)</f>
        <v>0</v>
      </c>
      <c r="I15" s="94">
        <f t="shared" si="0"/>
        <v>0</v>
      </c>
      <c r="J15" s="90"/>
    </row>
    <row r="16" spans="1:10" s="85" customFormat="1">
      <c r="A16" s="91" t="str">
        <f>IF(ISBLANK(Management!A20),"",Management!A20)</f>
        <v/>
      </c>
      <c r="B16" s="92" t="str">
        <f>Management!E20</f>
        <v/>
      </c>
      <c r="C16" s="87">
        <f>SUMIF('Partner meetings'!$A$7:$A$108,A16,'Partner meetings'!$J$7:$J$108)</f>
        <v>0</v>
      </c>
      <c r="D16" s="92">
        <f>SUMIF('Intellectual outputs'!$A$8:$A$109,A16,'Intellectual outputs'!$E$8:$E$109)</f>
        <v>0</v>
      </c>
      <c r="E16" s="93">
        <f>SUMIF('Multiplier events'!$A$6:$A$36,A16,'Multiplier events'!$H$6:$H$36)</f>
        <v>0</v>
      </c>
      <c r="F16" s="93">
        <f>SUMIF('VET Transnat. training-teaching'!$A$7:$A$37,$A16,'VET Transnat. training-teaching'!$T$7:$T$37)+SUMIF('SE Transnat. training-teaching'!$A$7:$A$37,$A16,'SE Transnat. training-teaching'!$T$7:$T$37) +SUMIF('Youth Transnat. training-teach'!$A$7:$A$37,$A16,'Youth Transnat. training-teach'!$T$7:$T$37) +SUMIF('AE Transnat. training-teaching'!$A$7:$A$37,$A16,'AE Transnat. training-teaching'!$T$7:$T$37) +SUMIF('HE Transnat. training-teaching'!$A$7:$A$37,$A16,'HE Transnat. training-teaching'!$T$7:$T$37)</f>
        <v>0</v>
      </c>
      <c r="G16" s="93">
        <f>SUMIF('Exceptional costs'!$A$6:$A$36,A16,'Exceptional costs'!$F$6:$F$36)</f>
        <v>0</v>
      </c>
      <c r="H16" s="93">
        <f>SUMIF('Special needs'!$A$6:$A$36,A16,'Special needs'!$G$6:$G$36)</f>
        <v>0</v>
      </c>
      <c r="I16" s="94">
        <f t="shared" si="0"/>
        <v>0</v>
      </c>
      <c r="J16" s="90"/>
    </row>
    <row r="17" spans="1:10" s="85" customFormat="1">
      <c r="A17" s="91" t="str">
        <f>IF(ISBLANK(Management!A21),"",Management!A21)</f>
        <v/>
      </c>
      <c r="B17" s="92" t="str">
        <f>Management!E21</f>
        <v/>
      </c>
      <c r="C17" s="87">
        <f>SUMIF('Partner meetings'!$A$7:$A$108,A17,'Partner meetings'!$J$7:$J$108)</f>
        <v>0</v>
      </c>
      <c r="D17" s="92">
        <f>SUMIF('Intellectual outputs'!$A$8:$A$109,A17,'Intellectual outputs'!$E$8:$E$109)</f>
        <v>0</v>
      </c>
      <c r="E17" s="93">
        <f>SUMIF('Multiplier events'!$A$6:$A$36,A17,'Multiplier events'!$H$6:$H$36)</f>
        <v>0</v>
      </c>
      <c r="F17" s="93">
        <f>SUMIF('VET Transnat. training-teaching'!$A$7:$A$37,$A17,'VET Transnat. training-teaching'!$T$7:$T$37)+SUMIF('SE Transnat. training-teaching'!$A$7:$A$37,$A17,'SE Transnat. training-teaching'!$T$7:$T$37) +SUMIF('Youth Transnat. training-teach'!$A$7:$A$37,$A17,'Youth Transnat. training-teach'!$T$7:$T$37) +SUMIF('AE Transnat. training-teaching'!$A$7:$A$37,$A17,'AE Transnat. training-teaching'!$T$7:$T$37) +SUMIF('HE Transnat. training-teaching'!$A$7:$A$37,$A17,'HE Transnat. training-teaching'!$T$7:$T$37)</f>
        <v>0</v>
      </c>
      <c r="G17" s="93">
        <f>SUMIF('Exceptional costs'!$A$6:$A$36,A17,'Exceptional costs'!$F$6:$F$36)</f>
        <v>0</v>
      </c>
      <c r="H17" s="93">
        <f>SUMIF('Special needs'!$A$6:$A$36,A17,'Special needs'!$G$6:$G$36)</f>
        <v>0</v>
      </c>
      <c r="I17" s="94">
        <f t="shared" si="0"/>
        <v>0</v>
      </c>
      <c r="J17" s="90"/>
    </row>
    <row r="18" spans="1:10" s="85" customFormat="1">
      <c r="A18" s="91" t="str">
        <f>IF(ISBLANK(Management!A22),"",Management!A22)</f>
        <v/>
      </c>
      <c r="B18" s="92" t="str">
        <f>Management!E22</f>
        <v/>
      </c>
      <c r="C18" s="87">
        <f>SUMIF('Partner meetings'!$A$7:$A$108,A18,'Partner meetings'!$J$7:$J$108)</f>
        <v>0</v>
      </c>
      <c r="D18" s="92">
        <f>SUMIF('Intellectual outputs'!$A$8:$A$109,A18,'Intellectual outputs'!$E$8:$E$109)</f>
        <v>0</v>
      </c>
      <c r="E18" s="93">
        <f>SUMIF('Multiplier events'!$A$6:$A$36,A18,'Multiplier events'!$H$6:$H$36)</f>
        <v>0</v>
      </c>
      <c r="F18" s="93">
        <f>SUMIF('VET Transnat. training-teaching'!$A$7:$A$37,$A18,'VET Transnat. training-teaching'!$T$7:$T$37)+SUMIF('SE Transnat. training-teaching'!$A$7:$A$37,$A18,'SE Transnat. training-teaching'!$T$7:$T$37) +SUMIF('Youth Transnat. training-teach'!$A$7:$A$37,$A18,'Youth Transnat. training-teach'!$T$7:$T$37) +SUMIF('AE Transnat. training-teaching'!$A$7:$A$37,$A18,'AE Transnat. training-teaching'!$T$7:$T$37) +SUMIF('HE Transnat. training-teaching'!$A$7:$A$37,$A18,'HE Transnat. training-teaching'!$T$7:$T$37)</f>
        <v>0</v>
      </c>
      <c r="G18" s="93">
        <f>SUMIF('Exceptional costs'!$A$6:$A$36,A18,'Exceptional costs'!$F$6:$F$36)</f>
        <v>0</v>
      </c>
      <c r="H18" s="93">
        <f>SUMIF('Special needs'!$A$6:$A$36,A18,'Special needs'!$G$6:$G$36)</f>
        <v>0</v>
      </c>
      <c r="I18" s="94">
        <f t="shared" si="0"/>
        <v>0</v>
      </c>
      <c r="J18" s="90"/>
    </row>
    <row r="19" spans="1:10" s="85" customFormat="1">
      <c r="A19" s="91" t="str">
        <f>IF(ISBLANK(Management!A23),"",Management!A23)</f>
        <v/>
      </c>
      <c r="B19" s="92" t="str">
        <f>Management!E23</f>
        <v/>
      </c>
      <c r="C19" s="87">
        <f>SUMIF('Partner meetings'!$A$7:$A$108,A19,'Partner meetings'!$J$7:$J$108)</f>
        <v>0</v>
      </c>
      <c r="D19" s="92">
        <f>SUMIF('Intellectual outputs'!$A$8:$A$109,A19,'Intellectual outputs'!$E$8:$E$109)</f>
        <v>0</v>
      </c>
      <c r="E19" s="93">
        <f>SUMIF('Multiplier events'!$A$6:$A$36,A19,'Multiplier events'!$H$6:$H$36)</f>
        <v>0</v>
      </c>
      <c r="F19" s="93">
        <f>SUMIF('VET Transnat. training-teaching'!$A$7:$A$37,$A19,'VET Transnat. training-teaching'!$T$7:$T$37)+SUMIF('SE Transnat. training-teaching'!$A$7:$A$37,$A19,'SE Transnat. training-teaching'!$T$7:$T$37) +SUMIF('Youth Transnat. training-teach'!$A$7:$A$37,$A19,'Youth Transnat. training-teach'!$T$7:$T$37) +SUMIF('AE Transnat. training-teaching'!$A$7:$A$37,$A19,'AE Transnat. training-teaching'!$T$7:$T$37) +SUMIF('HE Transnat. training-teaching'!$A$7:$A$37,$A19,'HE Transnat. training-teaching'!$T$7:$T$37)</f>
        <v>0</v>
      </c>
      <c r="G19" s="93">
        <f>SUMIF('Exceptional costs'!$A$6:$A$36,A19,'Exceptional costs'!$F$6:$F$36)</f>
        <v>0</v>
      </c>
      <c r="H19" s="93">
        <f>SUMIF('Special needs'!$A$6:$A$36,A19,'Special needs'!$G$6:$G$36)</f>
        <v>0</v>
      </c>
      <c r="I19" s="94">
        <f t="shared" si="0"/>
        <v>0</v>
      </c>
      <c r="J19" s="90"/>
    </row>
    <row r="20" spans="1:10" s="85" customFormat="1">
      <c r="A20" s="91" t="str">
        <f>IF(ISBLANK(Management!A24),"",Management!A24)</f>
        <v/>
      </c>
      <c r="B20" s="92" t="str">
        <f>Management!E24</f>
        <v/>
      </c>
      <c r="C20" s="87">
        <f>SUMIF('Partner meetings'!$A$7:$A$108,A20,'Partner meetings'!$J$7:$J$108)</f>
        <v>0</v>
      </c>
      <c r="D20" s="92">
        <f>SUMIF('Intellectual outputs'!$A$8:$A$109,A20,'Intellectual outputs'!$E$8:$E$109)</f>
        <v>0</v>
      </c>
      <c r="E20" s="93">
        <f>SUMIF('Multiplier events'!$A$6:$A$36,A20,'Multiplier events'!$H$6:$H$36)</f>
        <v>0</v>
      </c>
      <c r="F20" s="93">
        <f>SUMIF('VET Transnat. training-teaching'!$A$7:$A$37,$A20,'VET Transnat. training-teaching'!$T$7:$T$37)+SUMIF('SE Transnat. training-teaching'!$A$7:$A$37,$A20,'SE Transnat. training-teaching'!$T$7:$T$37) +SUMIF('Youth Transnat. training-teach'!$A$7:$A$37,$A20,'Youth Transnat. training-teach'!$T$7:$T$37) +SUMIF('AE Transnat. training-teaching'!$A$7:$A$37,$A20,'AE Transnat. training-teaching'!$T$7:$T$37) +SUMIF('HE Transnat. training-teaching'!$A$7:$A$37,$A20,'HE Transnat. training-teaching'!$T$7:$T$37)</f>
        <v>0</v>
      </c>
      <c r="G20" s="93">
        <f>SUMIF('Exceptional costs'!$A$6:$A$36,A20,'Exceptional costs'!$F$6:$F$36)</f>
        <v>0</v>
      </c>
      <c r="H20" s="93">
        <f>SUMIF('Special needs'!$A$6:$A$36,A20,'Special needs'!$G$6:$G$36)</f>
        <v>0</v>
      </c>
      <c r="I20" s="94">
        <f t="shared" si="0"/>
        <v>0</v>
      </c>
      <c r="J20" s="90"/>
    </row>
    <row r="21" spans="1:10" s="85" customFormat="1" ht="13.5" thickBot="1">
      <c r="A21" s="95" t="str">
        <f>IF(ISBLANK(Management!A25),"",Management!A25)</f>
        <v/>
      </c>
      <c r="B21" s="96" t="str">
        <f>Management!E25</f>
        <v/>
      </c>
      <c r="C21" s="96">
        <f>SUMIF('Partner meetings'!$A$7:$A$108,A21,'Partner meetings'!$J$7:$J$108)</f>
        <v>0</v>
      </c>
      <c r="D21" s="96">
        <f>SUMIF('Intellectual outputs'!$A$8:$A$109,A21,'Intellectual outputs'!$E$8:$E$109)</f>
        <v>0</v>
      </c>
      <c r="E21" s="97">
        <f>SUMIF('Multiplier events'!$A$6:$A$36,A21,'Multiplier events'!$H$6:$H$36)</f>
        <v>0</v>
      </c>
      <c r="F21" s="97">
        <f>SUMIF('VET Transnat. training-teaching'!$A$7:$A$37,$A21,'VET Transnat. training-teaching'!$T$7:$T$37)+SUMIF('SE Transnat. training-teaching'!$A$7:$A$37,$A21,'SE Transnat. training-teaching'!$T$7:$T$37) +SUMIF('Youth Transnat. training-teach'!$A$7:$A$37,$A21,'Youth Transnat. training-teach'!$T$7:$T$37) +SUMIF('AE Transnat. training-teaching'!$A$7:$A$37,$A21,'AE Transnat. training-teaching'!$T$7:$T$37) +SUMIF('HE Transnat. training-teaching'!$A$7:$A$37,$A21,'HE Transnat. training-teaching'!$T$7:$T$37)</f>
        <v>0</v>
      </c>
      <c r="G21" s="97">
        <f>SUMIF('Exceptional costs'!$A$6:$A$36,A21,'Exceptional costs'!$F$6:$F$36)</f>
        <v>0</v>
      </c>
      <c r="H21" s="97">
        <f>SUMIF('Special needs'!$A$6:$A$36,A21,'Special needs'!$G$6:$G$36)</f>
        <v>0</v>
      </c>
      <c r="I21" s="98">
        <f t="shared" si="0"/>
        <v>0</v>
      </c>
      <c r="J21" s="90"/>
    </row>
    <row r="22" spans="1:10">
      <c r="D22" s="449"/>
      <c r="E22" s="450" t="s">
        <v>485</v>
      </c>
      <c r="F22" s="453">
        <f>SUM('VET Transnat. training-teaching:Youth Transnat. training-teach'!E38,'VET Transnat. training-teaching:Youth Transnat. training-teach'!H38)</f>
        <v>0</v>
      </c>
    </row>
  </sheetData>
  <sheetProtection password="CBC2" sheet="1" objects="1" scenarios="1"/>
  <mergeCells count="3">
    <mergeCell ref="A1:B1"/>
    <mergeCell ref="C1:I1"/>
    <mergeCell ref="A4:I4"/>
  </mergeCells>
  <phoneticPr fontId="7" type="noConversion"/>
  <conditionalFormatting sqref="I6">
    <cfRule type="cellIs" dxfId="2" priority="2" stopIfTrue="1" operator="equal">
      <formula>"ERROR"</formula>
    </cfRule>
  </conditionalFormatting>
  <conditionalFormatting sqref="I6">
    <cfRule type="expression" dxfId="1" priority="3" stopIfTrue="1">
      <formula>J6&lt;&gt;""</formula>
    </cfRule>
  </conditionalFormatting>
  <conditionalFormatting sqref="F22">
    <cfRule type="cellIs" dxfId="0" priority="1" operator="greaterThan">
      <formula>100</formula>
    </cfRule>
  </conditionalFormatting>
  <dataValidations disablePrompts="1" count="2">
    <dataValidation type="list" allowBlank="1" showInputMessage="1" showErrorMessage="1" sqref="M2:M3">
      <formula1>ActionsList</formula1>
    </dataValidation>
    <dataValidation type="whole" operator="greaterThanOrEqual" allowBlank="1" showInputMessage="1" showErrorMessage="1" sqref="I7:J21">
      <formula1>0</formula1>
    </dataValidation>
  </dataValidations>
  <printOptions horizontalCentered="1"/>
  <pageMargins left="0.7" right="0.7" top="0.75" bottom="0.75" header="0.3" footer="0.3"/>
  <pageSetup paperSize="9" orientation="landscape" r:id="rId1"/>
  <headerFooter scaleWithDoc="0">
    <oddHeader>&amp;C&amp;11 2017. E+ KA202&amp;RVersion: 2017.02.16. - TKA</oddHeader>
    <oddFooter>&amp;C&amp;"Arial,Félkövér"&amp;A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5">
    <tabColor indexed="55"/>
    <pageSetUpPr fitToPage="1"/>
  </sheetPr>
  <dimension ref="A1:Y203"/>
  <sheetViews>
    <sheetView topLeftCell="D1" zoomScale="75" zoomScaleNormal="75" zoomScalePageLayoutView="75" workbookViewId="0">
      <selection activeCell="O13" sqref="O13"/>
    </sheetView>
  </sheetViews>
  <sheetFormatPr defaultColWidth="8.85546875" defaultRowHeight="15.75"/>
  <cols>
    <col min="1" max="1" width="20.140625" style="340" customWidth="1"/>
    <col min="2" max="2" width="8" style="420" customWidth="1"/>
    <col min="3" max="3" width="8.42578125" style="340" bestFit="1" customWidth="1"/>
    <col min="4" max="4" width="10.7109375" style="340" customWidth="1"/>
    <col min="5" max="5" width="9.42578125" style="340" bestFit="1" customWidth="1"/>
    <col min="6" max="6" width="14" style="340" bestFit="1" customWidth="1"/>
    <col min="7" max="7" width="7" style="340" customWidth="1"/>
    <col min="8" max="8" width="0.7109375" style="339" customWidth="1"/>
    <col min="9" max="9" width="2.42578125" style="339" customWidth="1"/>
    <col min="10" max="10" width="17.42578125" style="340" customWidth="1"/>
    <col min="11" max="11" width="10.42578125" style="340" bestFit="1" customWidth="1"/>
    <col min="12" max="12" width="2.42578125" style="340" customWidth="1"/>
    <col min="13" max="13" width="10.7109375" style="340" customWidth="1"/>
    <col min="14" max="14" width="10.85546875" style="340" customWidth="1"/>
    <col min="15" max="16" width="12.85546875" style="340" customWidth="1"/>
    <col min="17" max="17" width="20.7109375" style="340" customWidth="1"/>
    <col min="18" max="18" width="37.42578125" style="369" customWidth="1"/>
    <col min="19" max="19" width="14.7109375" style="369" customWidth="1"/>
    <col min="20" max="20" width="2.42578125" style="340" customWidth="1"/>
    <col min="21" max="21" width="24.42578125" style="369" customWidth="1"/>
    <col min="22" max="22" width="4" style="369" bestFit="1" customWidth="1"/>
    <col min="23" max="23" width="2.42578125" style="340" customWidth="1"/>
    <col min="24" max="24" width="17.42578125" style="340" bestFit="1" customWidth="1"/>
    <col min="25" max="25" width="10.42578125" style="340" customWidth="1"/>
    <col min="26" max="16384" width="8.85546875" style="340"/>
  </cols>
  <sheetData>
    <row r="1" spans="1:25" ht="30.75" customHeight="1" thickBot="1">
      <c r="A1" s="616" t="s">
        <v>125</v>
      </c>
      <c r="B1" s="616"/>
      <c r="C1" s="616"/>
      <c r="D1" s="616"/>
      <c r="E1" s="616"/>
      <c r="F1" s="616"/>
      <c r="G1" s="616"/>
      <c r="M1" s="612" t="s">
        <v>115</v>
      </c>
      <c r="N1" s="612"/>
      <c r="O1" s="612"/>
      <c r="P1" s="612"/>
      <c r="Q1" s="612"/>
      <c r="R1" s="612"/>
      <c r="S1" s="612"/>
      <c r="U1" s="615" t="s">
        <v>114</v>
      </c>
      <c r="V1" s="615"/>
    </row>
    <row r="2" spans="1:25" ht="39" thickBot="1">
      <c r="A2" s="603" t="s">
        <v>102</v>
      </c>
      <c r="B2" s="604"/>
      <c r="C2" s="595" t="s">
        <v>43</v>
      </c>
      <c r="D2" s="613"/>
      <c r="E2" s="613"/>
      <c r="F2" s="614"/>
      <c r="G2" s="341"/>
      <c r="J2" s="595" t="s">
        <v>88</v>
      </c>
      <c r="K2" s="596"/>
      <c r="M2" s="342"/>
      <c r="N2" s="605" t="s">
        <v>312</v>
      </c>
      <c r="O2" s="606"/>
      <c r="P2" s="607"/>
      <c r="Q2" s="343" t="s">
        <v>440</v>
      </c>
      <c r="R2" s="595" t="s">
        <v>429</v>
      </c>
      <c r="S2" s="596"/>
      <c r="U2" s="595" t="s">
        <v>314</v>
      </c>
      <c r="V2" s="596"/>
      <c r="X2" s="610" t="s">
        <v>315</v>
      </c>
      <c r="Y2" s="611"/>
    </row>
    <row r="3" spans="1:25" s="352" customFormat="1" ht="90" customHeight="1" thickBot="1">
      <c r="A3" s="434" t="s">
        <v>2</v>
      </c>
      <c r="B3" s="345" t="s">
        <v>44</v>
      </c>
      <c r="C3" s="344" t="s">
        <v>38</v>
      </c>
      <c r="D3" s="346" t="s">
        <v>45</v>
      </c>
      <c r="E3" s="347" t="s">
        <v>39</v>
      </c>
      <c r="F3" s="348" t="s">
        <v>40</v>
      </c>
      <c r="G3" s="349"/>
      <c r="H3" s="339"/>
      <c r="I3" s="339"/>
      <c r="J3" s="350" t="s">
        <v>123</v>
      </c>
      <c r="K3" s="351" t="s">
        <v>149</v>
      </c>
      <c r="M3" s="353"/>
      <c r="N3" s="354" t="s">
        <v>466</v>
      </c>
      <c r="O3" s="354" t="s">
        <v>467</v>
      </c>
      <c r="P3" s="354" t="s">
        <v>468</v>
      </c>
      <c r="Q3" s="355" t="s">
        <v>469</v>
      </c>
      <c r="R3" s="356" t="s">
        <v>313</v>
      </c>
      <c r="S3" s="357">
        <v>100</v>
      </c>
      <c r="U3" s="350" t="s">
        <v>113</v>
      </c>
      <c r="V3" s="358">
        <v>150</v>
      </c>
      <c r="X3" s="432" t="s">
        <v>123</v>
      </c>
      <c r="Y3" s="433" t="s">
        <v>149</v>
      </c>
    </row>
    <row r="4" spans="1:25" s="352" customFormat="1" ht="32.25" customHeight="1" thickBot="1">
      <c r="A4" s="435" t="s">
        <v>67</v>
      </c>
      <c r="B4" s="359" t="s">
        <v>5</v>
      </c>
      <c r="C4" s="360">
        <v>294</v>
      </c>
      <c r="D4" s="361">
        <v>241</v>
      </c>
      <c r="E4" s="361">
        <v>190</v>
      </c>
      <c r="F4" s="362">
        <v>157</v>
      </c>
      <c r="G4" s="597" t="s">
        <v>90</v>
      </c>
      <c r="H4" s="339"/>
      <c r="I4" s="339"/>
      <c r="J4" s="363" t="s">
        <v>124</v>
      </c>
      <c r="K4" s="364">
        <v>575</v>
      </c>
      <c r="M4" s="342" t="s">
        <v>67</v>
      </c>
      <c r="N4" s="365">
        <v>105</v>
      </c>
      <c r="O4" s="365">
        <v>74</v>
      </c>
      <c r="P4" s="365">
        <v>53</v>
      </c>
      <c r="Q4" s="366">
        <v>115</v>
      </c>
      <c r="R4" s="367" t="s">
        <v>153</v>
      </c>
      <c r="S4" s="368">
        <v>70</v>
      </c>
      <c r="U4" s="369"/>
      <c r="V4" s="369"/>
      <c r="X4" s="383" t="s">
        <v>476</v>
      </c>
      <c r="Y4" s="384">
        <v>20</v>
      </c>
    </row>
    <row r="5" spans="1:25" ht="16.5" thickBot="1">
      <c r="A5" s="436" t="s">
        <v>52</v>
      </c>
      <c r="B5" s="370" t="s">
        <v>8</v>
      </c>
      <c r="C5" s="371">
        <v>280</v>
      </c>
      <c r="D5" s="372">
        <v>214</v>
      </c>
      <c r="E5" s="372">
        <v>162</v>
      </c>
      <c r="F5" s="373">
        <v>131</v>
      </c>
      <c r="G5" s="598"/>
      <c r="J5" s="374" t="s">
        <v>126</v>
      </c>
      <c r="K5" s="375">
        <v>760</v>
      </c>
      <c r="M5" s="376" t="s">
        <v>52</v>
      </c>
      <c r="N5" s="377">
        <v>105</v>
      </c>
      <c r="O5" s="377">
        <v>74</v>
      </c>
      <c r="P5" s="377">
        <v>53</v>
      </c>
      <c r="Q5" s="378">
        <v>110</v>
      </c>
      <c r="R5" s="595" t="s">
        <v>445</v>
      </c>
      <c r="S5" s="596"/>
      <c r="X5" s="385" t="s">
        <v>477</v>
      </c>
      <c r="Y5" s="386">
        <v>180</v>
      </c>
    </row>
    <row r="6" spans="1:25" ht="32.25" thickBot="1">
      <c r="A6" s="436" t="s">
        <v>53</v>
      </c>
      <c r="B6" s="370" t="s">
        <v>30</v>
      </c>
      <c r="C6" s="371">
        <v>88</v>
      </c>
      <c r="D6" s="372">
        <v>74</v>
      </c>
      <c r="E6" s="372">
        <v>55</v>
      </c>
      <c r="F6" s="373">
        <v>39</v>
      </c>
      <c r="G6" s="598"/>
      <c r="M6" s="376" t="s">
        <v>53</v>
      </c>
      <c r="N6" s="377">
        <v>105</v>
      </c>
      <c r="O6" s="377">
        <v>74</v>
      </c>
      <c r="P6" s="377">
        <v>53</v>
      </c>
      <c r="Q6" s="378">
        <v>70</v>
      </c>
      <c r="R6" s="379" t="s">
        <v>313</v>
      </c>
      <c r="S6" s="357">
        <v>55</v>
      </c>
      <c r="X6" s="385" t="s">
        <v>478</v>
      </c>
      <c r="Y6" s="386">
        <v>275</v>
      </c>
    </row>
    <row r="7" spans="1:25" ht="32.25" thickBot="1">
      <c r="A7" s="436" t="s">
        <v>61</v>
      </c>
      <c r="B7" s="370" t="s">
        <v>7</v>
      </c>
      <c r="C7" s="371">
        <v>164</v>
      </c>
      <c r="D7" s="372">
        <v>137</v>
      </c>
      <c r="E7" s="372">
        <v>102</v>
      </c>
      <c r="F7" s="373">
        <v>78</v>
      </c>
      <c r="G7" s="598"/>
      <c r="J7" s="608" t="s">
        <v>150</v>
      </c>
      <c r="K7" s="609"/>
      <c r="M7" s="376" t="s">
        <v>61</v>
      </c>
      <c r="N7" s="377">
        <v>105</v>
      </c>
      <c r="O7" s="377">
        <v>74</v>
      </c>
      <c r="P7" s="377">
        <v>53</v>
      </c>
      <c r="Q7" s="378">
        <v>110</v>
      </c>
      <c r="R7" s="367" t="s">
        <v>153</v>
      </c>
      <c r="S7" s="368">
        <v>40</v>
      </c>
      <c r="X7" s="385" t="s">
        <v>479</v>
      </c>
      <c r="Y7" s="386">
        <v>360</v>
      </c>
    </row>
    <row r="8" spans="1:25" ht="16.5" thickBot="1">
      <c r="A8" s="436" t="s">
        <v>84</v>
      </c>
      <c r="B8" s="370" t="s">
        <v>6</v>
      </c>
      <c r="C8" s="371">
        <v>164</v>
      </c>
      <c r="D8" s="372">
        <v>137</v>
      </c>
      <c r="E8" s="372">
        <v>102</v>
      </c>
      <c r="F8" s="373">
        <v>78</v>
      </c>
      <c r="G8" s="598"/>
      <c r="J8" s="381" t="s">
        <v>415</v>
      </c>
      <c r="K8" s="382" t="s">
        <v>151</v>
      </c>
      <c r="M8" s="376" t="s">
        <v>84</v>
      </c>
      <c r="N8" s="377">
        <v>105</v>
      </c>
      <c r="O8" s="377">
        <v>74</v>
      </c>
      <c r="P8" s="377">
        <v>53</v>
      </c>
      <c r="Q8" s="378">
        <v>90</v>
      </c>
      <c r="X8" s="385" t="s">
        <v>480</v>
      </c>
      <c r="Y8" s="386">
        <v>530</v>
      </c>
    </row>
    <row r="9" spans="1:25">
      <c r="A9" s="436" t="s">
        <v>54</v>
      </c>
      <c r="B9" s="370" t="s">
        <v>9</v>
      </c>
      <c r="C9" s="371">
        <v>294</v>
      </c>
      <c r="D9" s="372">
        <v>241</v>
      </c>
      <c r="E9" s="372">
        <v>190</v>
      </c>
      <c r="F9" s="373">
        <v>157</v>
      </c>
      <c r="G9" s="598"/>
      <c r="J9" s="383">
        <v>12</v>
      </c>
      <c r="K9" s="384">
        <f>J9*12500</f>
        <v>150000</v>
      </c>
      <c r="M9" s="376" t="s">
        <v>54</v>
      </c>
      <c r="N9" s="377">
        <v>120</v>
      </c>
      <c r="O9" s="377">
        <v>84</v>
      </c>
      <c r="P9" s="377">
        <v>60</v>
      </c>
      <c r="Q9" s="378">
        <v>145</v>
      </c>
      <c r="X9" s="385" t="s">
        <v>481</v>
      </c>
      <c r="Y9" s="386">
        <v>820</v>
      </c>
    </row>
    <row r="10" spans="1:25" ht="16.5" thickBot="1">
      <c r="A10" s="436" t="s">
        <v>85</v>
      </c>
      <c r="B10" s="370" t="s">
        <v>41</v>
      </c>
      <c r="C10" s="371">
        <v>280</v>
      </c>
      <c r="D10" s="372">
        <v>214</v>
      </c>
      <c r="E10" s="372">
        <v>162</v>
      </c>
      <c r="F10" s="373">
        <v>131</v>
      </c>
      <c r="G10" s="598"/>
      <c r="J10" s="385">
        <v>13</v>
      </c>
      <c r="K10" s="386">
        <f t="shared" ref="K10:K33" si="0">J10*12500</f>
        <v>162500</v>
      </c>
      <c r="M10" s="376" t="s">
        <v>85</v>
      </c>
      <c r="N10" s="377">
        <v>120</v>
      </c>
      <c r="O10" s="377">
        <v>84</v>
      </c>
      <c r="P10" s="377">
        <v>60</v>
      </c>
      <c r="Q10" s="378">
        <v>140</v>
      </c>
      <c r="X10" s="388" t="s">
        <v>482</v>
      </c>
      <c r="Y10" s="389">
        <v>1300</v>
      </c>
    </row>
    <row r="11" spans="1:25">
      <c r="A11" s="436" t="s">
        <v>56</v>
      </c>
      <c r="B11" s="370" t="s">
        <v>11</v>
      </c>
      <c r="C11" s="371">
        <v>88</v>
      </c>
      <c r="D11" s="372">
        <v>74</v>
      </c>
      <c r="E11" s="372">
        <v>55</v>
      </c>
      <c r="F11" s="373">
        <v>39</v>
      </c>
      <c r="G11" s="598"/>
      <c r="J11" s="385">
        <v>14</v>
      </c>
      <c r="K11" s="386">
        <f t="shared" si="0"/>
        <v>175000</v>
      </c>
      <c r="M11" s="376" t="s">
        <v>56</v>
      </c>
      <c r="N11" s="377">
        <v>75</v>
      </c>
      <c r="O11" s="377">
        <v>53</v>
      </c>
      <c r="P11" s="377">
        <v>38</v>
      </c>
      <c r="Q11" s="378">
        <v>85</v>
      </c>
      <c r="X11" s="340" t="s">
        <v>488</v>
      </c>
      <c r="Y11" s="340">
        <v>180</v>
      </c>
    </row>
    <row r="12" spans="1:25">
      <c r="A12" s="436" t="s">
        <v>71</v>
      </c>
      <c r="B12" s="370" t="s">
        <v>25</v>
      </c>
      <c r="C12" s="371">
        <v>280</v>
      </c>
      <c r="D12" s="372">
        <v>214</v>
      </c>
      <c r="E12" s="372">
        <v>162</v>
      </c>
      <c r="F12" s="373">
        <v>131</v>
      </c>
      <c r="G12" s="598"/>
      <c r="J12" s="385">
        <v>15</v>
      </c>
      <c r="K12" s="386">
        <f t="shared" si="0"/>
        <v>187500</v>
      </c>
      <c r="M12" s="376" t="s">
        <v>71</v>
      </c>
      <c r="N12" s="377">
        <v>105</v>
      </c>
      <c r="O12" s="377">
        <v>74</v>
      </c>
      <c r="P12" s="377">
        <v>53</v>
      </c>
      <c r="Q12" s="378">
        <v>125</v>
      </c>
    </row>
    <row r="13" spans="1:25">
      <c r="A13" s="436" t="s">
        <v>79</v>
      </c>
      <c r="B13" s="370" t="s">
        <v>13</v>
      </c>
      <c r="C13" s="371">
        <v>280</v>
      </c>
      <c r="D13" s="372">
        <v>214</v>
      </c>
      <c r="E13" s="372">
        <v>162</v>
      </c>
      <c r="F13" s="373">
        <v>131</v>
      </c>
      <c r="G13" s="598"/>
      <c r="J13" s="385">
        <v>16</v>
      </c>
      <c r="K13" s="386">
        <f t="shared" si="0"/>
        <v>200000</v>
      </c>
      <c r="M13" s="376" t="s">
        <v>79</v>
      </c>
      <c r="N13" s="377">
        <v>105</v>
      </c>
      <c r="O13" s="377">
        <v>74</v>
      </c>
      <c r="P13" s="377">
        <v>53</v>
      </c>
      <c r="Q13" s="378">
        <v>115</v>
      </c>
    </row>
    <row r="14" spans="1:25">
      <c r="A14" s="436" t="s">
        <v>57</v>
      </c>
      <c r="B14" s="370" t="s">
        <v>46</v>
      </c>
      <c r="C14" s="371">
        <v>164</v>
      </c>
      <c r="D14" s="372">
        <v>137</v>
      </c>
      <c r="E14" s="372">
        <v>102</v>
      </c>
      <c r="F14" s="373">
        <v>78</v>
      </c>
      <c r="G14" s="598"/>
      <c r="J14" s="385">
        <v>17</v>
      </c>
      <c r="K14" s="386">
        <f t="shared" si="0"/>
        <v>212500</v>
      </c>
      <c r="M14" s="376" t="s">
        <v>86</v>
      </c>
      <c r="N14" s="377">
        <v>105</v>
      </c>
      <c r="O14" s="377">
        <v>74</v>
      </c>
      <c r="P14" s="377">
        <v>53</v>
      </c>
      <c r="Q14" s="378">
        <v>100</v>
      </c>
      <c r="Y14" s="380"/>
    </row>
    <row r="15" spans="1:25">
      <c r="A15" s="436" t="s">
        <v>66</v>
      </c>
      <c r="B15" s="370" t="s">
        <v>20</v>
      </c>
      <c r="C15" s="371">
        <v>294</v>
      </c>
      <c r="D15" s="372">
        <v>241</v>
      </c>
      <c r="E15" s="372">
        <v>190</v>
      </c>
      <c r="F15" s="373">
        <v>157</v>
      </c>
      <c r="G15" s="598"/>
      <c r="J15" s="385">
        <v>18</v>
      </c>
      <c r="K15" s="386">
        <f t="shared" si="0"/>
        <v>225000</v>
      </c>
      <c r="M15" s="376" t="s">
        <v>66</v>
      </c>
      <c r="N15" s="377">
        <v>120</v>
      </c>
      <c r="O15" s="377">
        <v>84</v>
      </c>
      <c r="P15" s="377">
        <v>60</v>
      </c>
      <c r="Q15" s="378">
        <v>110</v>
      </c>
      <c r="Y15" s="380"/>
    </row>
    <row r="16" spans="1:25">
      <c r="A16" s="436" t="s">
        <v>76</v>
      </c>
      <c r="B16" s="370" t="s">
        <v>51</v>
      </c>
      <c r="C16" s="371">
        <v>88</v>
      </c>
      <c r="D16" s="372">
        <v>74</v>
      </c>
      <c r="E16" s="372">
        <v>55</v>
      </c>
      <c r="F16" s="373">
        <v>39</v>
      </c>
      <c r="G16" s="598"/>
      <c r="J16" s="385">
        <v>19</v>
      </c>
      <c r="K16" s="386">
        <f t="shared" si="0"/>
        <v>237500</v>
      </c>
      <c r="M16" s="376" t="s">
        <v>76</v>
      </c>
      <c r="N16" s="377">
        <v>75</v>
      </c>
      <c r="O16" s="377">
        <v>53</v>
      </c>
      <c r="P16" s="377">
        <v>38</v>
      </c>
      <c r="Q16" s="378">
        <v>90</v>
      </c>
      <c r="Y16" s="380"/>
    </row>
    <row r="17" spans="1:25">
      <c r="A17" s="436" t="s">
        <v>59</v>
      </c>
      <c r="B17" s="370" t="s">
        <v>14</v>
      </c>
      <c r="C17" s="371">
        <v>294</v>
      </c>
      <c r="D17" s="372">
        <v>241</v>
      </c>
      <c r="E17" s="372">
        <v>190</v>
      </c>
      <c r="F17" s="373">
        <v>157</v>
      </c>
      <c r="G17" s="598"/>
      <c r="J17" s="385">
        <v>20</v>
      </c>
      <c r="K17" s="386">
        <f t="shared" si="0"/>
        <v>250000</v>
      </c>
      <c r="M17" s="376" t="s">
        <v>59</v>
      </c>
      <c r="N17" s="377">
        <v>120</v>
      </c>
      <c r="O17" s="377">
        <v>84</v>
      </c>
      <c r="P17" s="377">
        <v>60</v>
      </c>
      <c r="Q17" s="378">
        <v>125</v>
      </c>
      <c r="Y17" s="380"/>
    </row>
    <row r="18" spans="1:25">
      <c r="A18" s="436" t="s">
        <v>73</v>
      </c>
      <c r="B18" s="370" t="s">
        <v>27</v>
      </c>
      <c r="C18" s="371">
        <v>280</v>
      </c>
      <c r="D18" s="372">
        <v>214</v>
      </c>
      <c r="E18" s="372">
        <v>162</v>
      </c>
      <c r="F18" s="373">
        <v>131</v>
      </c>
      <c r="G18" s="598"/>
      <c r="J18" s="385">
        <v>21</v>
      </c>
      <c r="K18" s="386">
        <f t="shared" si="0"/>
        <v>262500</v>
      </c>
      <c r="M18" s="376" t="s">
        <v>73</v>
      </c>
      <c r="N18" s="377">
        <v>105</v>
      </c>
      <c r="O18" s="377">
        <v>74</v>
      </c>
      <c r="P18" s="377">
        <v>53</v>
      </c>
      <c r="Q18" s="378">
        <v>135</v>
      </c>
      <c r="Y18" s="380"/>
    </row>
    <row r="19" spans="1:25">
      <c r="A19" s="436" t="s">
        <v>68</v>
      </c>
      <c r="B19" s="370" t="s">
        <v>21</v>
      </c>
      <c r="C19" s="371">
        <v>88</v>
      </c>
      <c r="D19" s="372">
        <v>74</v>
      </c>
      <c r="E19" s="372">
        <v>55</v>
      </c>
      <c r="F19" s="373">
        <v>39</v>
      </c>
      <c r="G19" s="598"/>
      <c r="J19" s="385">
        <v>22</v>
      </c>
      <c r="K19" s="386">
        <f t="shared" si="0"/>
        <v>275000</v>
      </c>
      <c r="M19" s="376" t="s">
        <v>68</v>
      </c>
      <c r="N19" s="377">
        <v>105</v>
      </c>
      <c r="O19" s="377">
        <v>74</v>
      </c>
      <c r="P19" s="377">
        <v>53</v>
      </c>
      <c r="Q19" s="378">
        <v>85</v>
      </c>
      <c r="Y19" s="380"/>
    </row>
    <row r="20" spans="1:25">
      <c r="A20" s="436" t="s">
        <v>62</v>
      </c>
      <c r="B20" s="370" t="s">
        <v>47</v>
      </c>
      <c r="C20" s="371">
        <v>88</v>
      </c>
      <c r="D20" s="372">
        <v>74</v>
      </c>
      <c r="E20" s="372">
        <v>55</v>
      </c>
      <c r="F20" s="373">
        <v>39</v>
      </c>
      <c r="G20" s="598"/>
      <c r="J20" s="385">
        <v>23</v>
      </c>
      <c r="K20" s="386">
        <f t="shared" si="0"/>
        <v>287500</v>
      </c>
      <c r="M20" s="376" t="s">
        <v>62</v>
      </c>
      <c r="N20" s="377">
        <v>90</v>
      </c>
      <c r="O20" s="377">
        <v>63</v>
      </c>
      <c r="P20" s="377">
        <v>45</v>
      </c>
      <c r="Q20" s="378">
        <v>80</v>
      </c>
      <c r="Y20" s="380"/>
    </row>
    <row r="21" spans="1:25">
      <c r="A21" s="436" t="s">
        <v>74</v>
      </c>
      <c r="B21" s="370" t="s">
        <v>28</v>
      </c>
      <c r="C21" s="371">
        <v>294</v>
      </c>
      <c r="D21" s="372">
        <v>241</v>
      </c>
      <c r="E21" s="372">
        <v>190</v>
      </c>
      <c r="F21" s="373">
        <v>157</v>
      </c>
      <c r="G21" s="598"/>
      <c r="J21" s="385">
        <v>24</v>
      </c>
      <c r="K21" s="386">
        <f t="shared" si="0"/>
        <v>300000</v>
      </c>
      <c r="M21" s="376" t="s">
        <v>74</v>
      </c>
      <c r="N21" s="377">
        <v>105</v>
      </c>
      <c r="O21" s="377">
        <v>74</v>
      </c>
      <c r="P21" s="377">
        <v>53</v>
      </c>
      <c r="Q21" s="378">
        <v>120</v>
      </c>
      <c r="Y21" s="380"/>
    </row>
    <row r="22" spans="1:25">
      <c r="A22" s="436" t="s">
        <v>63</v>
      </c>
      <c r="B22" s="370" t="s">
        <v>16</v>
      </c>
      <c r="C22" s="371">
        <v>88</v>
      </c>
      <c r="D22" s="372">
        <v>74</v>
      </c>
      <c r="E22" s="372">
        <v>55</v>
      </c>
      <c r="F22" s="373">
        <v>39</v>
      </c>
      <c r="G22" s="598"/>
      <c r="J22" s="385">
        <v>25</v>
      </c>
      <c r="K22" s="386">
        <f t="shared" si="0"/>
        <v>312500</v>
      </c>
      <c r="M22" s="376" t="s">
        <v>63</v>
      </c>
      <c r="N22" s="377">
        <v>75</v>
      </c>
      <c r="O22" s="377">
        <v>53</v>
      </c>
      <c r="P22" s="377">
        <v>38</v>
      </c>
      <c r="Q22" s="378">
        <v>80</v>
      </c>
      <c r="Y22" s="280"/>
    </row>
    <row r="23" spans="1:25">
      <c r="A23" s="436" t="s">
        <v>64</v>
      </c>
      <c r="B23" s="370" t="s">
        <v>17</v>
      </c>
      <c r="C23" s="371">
        <v>294</v>
      </c>
      <c r="D23" s="372">
        <v>241</v>
      </c>
      <c r="E23" s="372">
        <v>190</v>
      </c>
      <c r="F23" s="373">
        <v>157</v>
      </c>
      <c r="G23" s="598"/>
      <c r="J23" s="385">
        <v>26</v>
      </c>
      <c r="K23" s="386">
        <f t="shared" si="0"/>
        <v>325000</v>
      </c>
      <c r="M23" s="376" t="s">
        <v>87</v>
      </c>
      <c r="N23" s="377">
        <v>105</v>
      </c>
      <c r="O23" s="377">
        <v>74</v>
      </c>
      <c r="P23" s="377">
        <v>53</v>
      </c>
      <c r="Q23" s="378">
        <v>110</v>
      </c>
      <c r="Y23" s="280"/>
    </row>
    <row r="24" spans="1:25" ht="16.5">
      <c r="A24" s="436" t="s">
        <v>82</v>
      </c>
      <c r="B24" s="387" t="s">
        <v>78</v>
      </c>
      <c r="C24" s="371">
        <v>88</v>
      </c>
      <c r="D24" s="372">
        <v>74</v>
      </c>
      <c r="E24" s="372">
        <v>55</v>
      </c>
      <c r="F24" s="373">
        <v>39</v>
      </c>
      <c r="G24" s="598"/>
      <c r="J24" s="385">
        <v>27</v>
      </c>
      <c r="K24" s="386">
        <f t="shared" si="0"/>
        <v>337500</v>
      </c>
      <c r="M24" s="376" t="s">
        <v>82</v>
      </c>
      <c r="N24" s="377">
        <v>90</v>
      </c>
      <c r="O24" s="377">
        <v>63</v>
      </c>
      <c r="P24" s="377">
        <v>45</v>
      </c>
      <c r="Q24" s="378">
        <v>60</v>
      </c>
      <c r="Y24" s="280"/>
    </row>
    <row r="25" spans="1:25">
      <c r="A25" s="436" t="s">
        <v>65</v>
      </c>
      <c r="B25" s="370" t="s">
        <v>18</v>
      </c>
      <c r="C25" s="371">
        <v>88</v>
      </c>
      <c r="D25" s="372">
        <v>74</v>
      </c>
      <c r="E25" s="372">
        <v>55</v>
      </c>
      <c r="F25" s="373">
        <v>39</v>
      </c>
      <c r="G25" s="598"/>
      <c r="J25" s="385">
        <v>28</v>
      </c>
      <c r="K25" s="386">
        <f t="shared" si="0"/>
        <v>350000</v>
      </c>
      <c r="M25" s="376" t="s">
        <v>65</v>
      </c>
      <c r="N25" s="377">
        <v>105</v>
      </c>
      <c r="O25" s="377">
        <v>74</v>
      </c>
      <c r="P25" s="377">
        <v>53</v>
      </c>
      <c r="Q25" s="378">
        <v>90</v>
      </c>
      <c r="Y25" s="280"/>
    </row>
    <row r="26" spans="1:25">
      <c r="A26" s="436" t="s">
        <v>83</v>
      </c>
      <c r="B26" s="370" t="s">
        <v>19</v>
      </c>
      <c r="C26" s="371">
        <v>164</v>
      </c>
      <c r="D26" s="372">
        <v>137</v>
      </c>
      <c r="E26" s="372">
        <v>102</v>
      </c>
      <c r="F26" s="373">
        <v>78</v>
      </c>
      <c r="G26" s="598"/>
      <c r="J26" s="385">
        <v>29</v>
      </c>
      <c r="K26" s="386">
        <f t="shared" si="0"/>
        <v>362500</v>
      </c>
      <c r="M26" s="376" t="s">
        <v>83</v>
      </c>
      <c r="N26" s="377">
        <v>90</v>
      </c>
      <c r="O26" s="377">
        <v>63</v>
      </c>
      <c r="P26" s="377">
        <v>45</v>
      </c>
      <c r="Q26" s="378">
        <v>110</v>
      </c>
      <c r="Y26" s="280"/>
    </row>
    <row r="27" spans="1:25">
      <c r="A27" s="436" t="s">
        <v>55</v>
      </c>
      <c r="B27" s="370" t="s">
        <v>10</v>
      </c>
      <c r="C27" s="371">
        <v>280</v>
      </c>
      <c r="D27" s="372">
        <v>214</v>
      </c>
      <c r="E27" s="372">
        <v>162</v>
      </c>
      <c r="F27" s="373">
        <v>131</v>
      </c>
      <c r="G27" s="598"/>
      <c r="J27" s="385">
        <v>30</v>
      </c>
      <c r="K27" s="386">
        <f t="shared" si="0"/>
        <v>375000</v>
      </c>
      <c r="M27" s="376" t="s">
        <v>55</v>
      </c>
      <c r="N27" s="377">
        <v>90</v>
      </c>
      <c r="O27" s="377">
        <v>63</v>
      </c>
      <c r="P27" s="377">
        <v>45</v>
      </c>
      <c r="Q27" s="378">
        <v>110</v>
      </c>
      <c r="Y27" s="280"/>
    </row>
    <row r="28" spans="1:25">
      <c r="A28" s="436" t="s">
        <v>75</v>
      </c>
      <c r="B28" s="370" t="s">
        <v>29</v>
      </c>
      <c r="C28" s="371">
        <v>294</v>
      </c>
      <c r="D28" s="372">
        <v>241</v>
      </c>
      <c r="E28" s="372">
        <v>190</v>
      </c>
      <c r="F28" s="373">
        <v>157</v>
      </c>
      <c r="G28" s="598"/>
      <c r="J28" s="385">
        <v>31</v>
      </c>
      <c r="K28" s="386">
        <f t="shared" si="0"/>
        <v>387500</v>
      </c>
      <c r="M28" s="376" t="s">
        <v>75</v>
      </c>
      <c r="N28" s="377">
        <v>105</v>
      </c>
      <c r="O28" s="377">
        <v>74</v>
      </c>
      <c r="P28" s="377">
        <v>53</v>
      </c>
      <c r="Q28" s="378">
        <v>135</v>
      </c>
    </row>
    <row r="29" spans="1:25">
      <c r="A29" s="436" t="s">
        <v>60</v>
      </c>
      <c r="B29" s="370" t="s">
        <v>15</v>
      </c>
      <c r="C29" s="371">
        <v>280</v>
      </c>
      <c r="D29" s="372">
        <v>214</v>
      </c>
      <c r="E29" s="372">
        <v>162</v>
      </c>
      <c r="F29" s="373">
        <v>131</v>
      </c>
      <c r="G29" s="598"/>
      <c r="J29" s="385">
        <v>32</v>
      </c>
      <c r="K29" s="386">
        <f t="shared" si="0"/>
        <v>400000</v>
      </c>
      <c r="M29" s="376" t="s">
        <v>60</v>
      </c>
      <c r="N29" s="377">
        <v>105</v>
      </c>
      <c r="O29" s="377">
        <v>74</v>
      </c>
      <c r="P29" s="377">
        <v>53</v>
      </c>
      <c r="Q29" s="378">
        <v>115</v>
      </c>
    </row>
    <row r="30" spans="1:25">
      <c r="A30" s="436" t="s">
        <v>80</v>
      </c>
      <c r="B30" s="370" t="s">
        <v>22</v>
      </c>
      <c r="C30" s="371">
        <v>164</v>
      </c>
      <c r="D30" s="372">
        <v>137</v>
      </c>
      <c r="E30" s="372">
        <v>102</v>
      </c>
      <c r="F30" s="373">
        <v>78</v>
      </c>
      <c r="G30" s="598"/>
      <c r="J30" s="385">
        <v>33</v>
      </c>
      <c r="K30" s="386">
        <f t="shared" si="0"/>
        <v>412500</v>
      </c>
      <c r="M30" s="376" t="s">
        <v>80</v>
      </c>
      <c r="N30" s="377">
        <v>90</v>
      </c>
      <c r="O30" s="377">
        <v>63</v>
      </c>
      <c r="P30" s="377">
        <v>45</v>
      </c>
      <c r="Q30" s="378">
        <v>100</v>
      </c>
    </row>
    <row r="31" spans="1:25">
      <c r="A31" s="436" t="s">
        <v>81</v>
      </c>
      <c r="B31" s="370" t="s">
        <v>31</v>
      </c>
      <c r="C31" s="371">
        <v>88</v>
      </c>
      <c r="D31" s="372">
        <v>74</v>
      </c>
      <c r="E31" s="372">
        <v>55</v>
      </c>
      <c r="F31" s="373">
        <v>39</v>
      </c>
      <c r="G31" s="598"/>
      <c r="J31" s="385">
        <v>34</v>
      </c>
      <c r="K31" s="386">
        <f t="shared" si="0"/>
        <v>425000</v>
      </c>
      <c r="M31" s="376" t="s">
        <v>81</v>
      </c>
      <c r="N31" s="377">
        <v>105</v>
      </c>
      <c r="O31" s="377">
        <v>74</v>
      </c>
      <c r="P31" s="377">
        <v>53</v>
      </c>
      <c r="Q31" s="378">
        <v>60</v>
      </c>
    </row>
    <row r="32" spans="1:25">
      <c r="A32" s="436" t="s">
        <v>58</v>
      </c>
      <c r="B32" s="370" t="s">
        <v>12</v>
      </c>
      <c r="C32" s="371">
        <v>164</v>
      </c>
      <c r="D32" s="372">
        <v>137</v>
      </c>
      <c r="E32" s="372">
        <v>102</v>
      </c>
      <c r="F32" s="373">
        <v>78</v>
      </c>
      <c r="G32" s="598"/>
      <c r="J32" s="385">
        <v>35</v>
      </c>
      <c r="K32" s="386">
        <f t="shared" si="0"/>
        <v>437500</v>
      </c>
      <c r="M32" s="376" t="s">
        <v>58</v>
      </c>
      <c r="N32" s="377">
        <v>90</v>
      </c>
      <c r="O32" s="377">
        <v>63</v>
      </c>
      <c r="P32" s="377">
        <v>45</v>
      </c>
      <c r="Q32" s="378">
        <v>105</v>
      </c>
    </row>
    <row r="33" spans="1:17" ht="16.5" thickBot="1">
      <c r="A33" s="436" t="s">
        <v>72</v>
      </c>
      <c r="B33" s="370" t="s">
        <v>26</v>
      </c>
      <c r="C33" s="371">
        <v>294</v>
      </c>
      <c r="D33" s="372">
        <v>241</v>
      </c>
      <c r="E33" s="372">
        <v>190</v>
      </c>
      <c r="F33" s="373">
        <v>157</v>
      </c>
      <c r="G33" s="598"/>
      <c r="J33" s="388">
        <v>36</v>
      </c>
      <c r="K33" s="389">
        <f t="shared" si="0"/>
        <v>450000</v>
      </c>
      <c r="M33" s="376" t="s">
        <v>72</v>
      </c>
      <c r="N33" s="377">
        <v>120</v>
      </c>
      <c r="O33" s="377">
        <v>84</v>
      </c>
      <c r="P33" s="377">
        <v>60</v>
      </c>
      <c r="Q33" s="378">
        <v>115</v>
      </c>
    </row>
    <row r="34" spans="1:17">
      <c r="A34" s="436" t="s">
        <v>70</v>
      </c>
      <c r="B34" s="370" t="s">
        <v>24</v>
      </c>
      <c r="C34" s="371">
        <v>88</v>
      </c>
      <c r="D34" s="372">
        <v>74</v>
      </c>
      <c r="E34" s="372">
        <v>55</v>
      </c>
      <c r="F34" s="373">
        <v>39</v>
      </c>
      <c r="G34" s="598"/>
      <c r="M34" s="376" t="s">
        <v>70</v>
      </c>
      <c r="N34" s="377">
        <v>90</v>
      </c>
      <c r="O34" s="377">
        <v>63</v>
      </c>
      <c r="P34" s="377">
        <v>45</v>
      </c>
      <c r="Q34" s="378">
        <v>95</v>
      </c>
    </row>
    <row r="35" spans="1:17">
      <c r="A35" s="436" t="s">
        <v>69</v>
      </c>
      <c r="B35" s="370" t="s">
        <v>23</v>
      </c>
      <c r="C35" s="371">
        <v>164</v>
      </c>
      <c r="D35" s="372">
        <v>137</v>
      </c>
      <c r="E35" s="372">
        <v>102</v>
      </c>
      <c r="F35" s="373">
        <v>78</v>
      </c>
      <c r="G35" s="598"/>
      <c r="M35" s="376" t="s">
        <v>69</v>
      </c>
      <c r="N35" s="377">
        <v>75</v>
      </c>
      <c r="O35" s="377">
        <v>53</v>
      </c>
      <c r="P35" s="377">
        <v>38</v>
      </c>
      <c r="Q35" s="378">
        <v>85</v>
      </c>
    </row>
    <row r="36" spans="1:17" ht="16.5" thickBot="1">
      <c r="A36" s="437" t="s">
        <v>77</v>
      </c>
      <c r="B36" s="390" t="s">
        <v>42</v>
      </c>
      <c r="C36" s="391">
        <v>88</v>
      </c>
      <c r="D36" s="392">
        <v>74</v>
      </c>
      <c r="E36" s="392">
        <v>55</v>
      </c>
      <c r="F36" s="393">
        <v>39</v>
      </c>
      <c r="G36" s="599"/>
      <c r="M36" s="394" t="s">
        <v>77</v>
      </c>
      <c r="N36" s="395">
        <v>105</v>
      </c>
      <c r="O36" s="395">
        <v>74</v>
      </c>
      <c r="P36" s="395">
        <v>53</v>
      </c>
      <c r="Q36" s="368">
        <v>80</v>
      </c>
    </row>
    <row r="37" spans="1:17">
      <c r="A37" s="438" t="s">
        <v>96</v>
      </c>
      <c r="B37" s="396"/>
      <c r="C37" s="412">
        <v>88</v>
      </c>
      <c r="D37" s="413">
        <v>74</v>
      </c>
      <c r="E37" s="413">
        <v>55</v>
      </c>
      <c r="F37" s="414">
        <v>39</v>
      </c>
      <c r="G37" s="600" t="s">
        <v>91</v>
      </c>
    </row>
    <row r="38" spans="1:17">
      <c r="A38" s="439" t="s">
        <v>168</v>
      </c>
      <c r="B38" s="443"/>
      <c r="C38" s="446">
        <v>88</v>
      </c>
      <c r="D38" s="447">
        <v>74</v>
      </c>
      <c r="E38" s="447">
        <v>55</v>
      </c>
      <c r="F38" s="448">
        <v>39</v>
      </c>
      <c r="G38" s="601"/>
      <c r="J38" s="1" t="s">
        <v>144</v>
      </c>
      <c r="P38" s="1" t="s">
        <v>446</v>
      </c>
    </row>
    <row r="39" spans="1:17">
      <c r="A39" s="439" t="s">
        <v>169</v>
      </c>
      <c r="B39" s="442"/>
      <c r="C39" s="445">
        <v>88</v>
      </c>
      <c r="D39" s="447">
        <v>74</v>
      </c>
      <c r="E39" s="447">
        <v>55</v>
      </c>
      <c r="F39" s="448">
        <v>39</v>
      </c>
      <c r="G39" s="601"/>
      <c r="J39" s="400" t="s">
        <v>429</v>
      </c>
      <c r="K39" s="398"/>
      <c r="L39" s="398"/>
      <c r="M39" s="398"/>
      <c r="N39" s="398"/>
      <c r="O39" s="398"/>
      <c r="P39" s="399" t="s">
        <v>429</v>
      </c>
      <c r="Q39" s="398"/>
    </row>
    <row r="40" spans="1:17" ht="15.75" customHeight="1">
      <c r="A40" s="438" t="s">
        <v>94</v>
      </c>
      <c r="B40" s="396"/>
      <c r="C40" s="412">
        <v>280</v>
      </c>
      <c r="D40" s="413">
        <v>214</v>
      </c>
      <c r="E40" s="413">
        <v>162</v>
      </c>
      <c r="F40" s="414">
        <v>131</v>
      </c>
      <c r="G40" s="601"/>
      <c r="I40" s="404" t="s">
        <v>436</v>
      </c>
      <c r="J40" s="278" t="s">
        <v>470</v>
      </c>
      <c r="K40" s="402"/>
      <c r="L40" s="401"/>
      <c r="M40" s="401"/>
      <c r="N40" s="401"/>
      <c r="O40" s="402" t="s">
        <v>430</v>
      </c>
      <c r="P40" s="403" t="s">
        <v>327</v>
      </c>
      <c r="Q40" s="402"/>
    </row>
    <row r="41" spans="1:17">
      <c r="A41" s="438" t="s">
        <v>170</v>
      </c>
      <c r="B41" s="396"/>
      <c r="C41" s="412">
        <v>88</v>
      </c>
      <c r="D41" s="413">
        <v>74</v>
      </c>
      <c r="E41" s="413">
        <v>55</v>
      </c>
      <c r="F41" s="414">
        <v>39</v>
      </c>
      <c r="G41" s="601"/>
      <c r="I41" s="406" t="s">
        <v>436</v>
      </c>
      <c r="J41" s="277" t="s">
        <v>444</v>
      </c>
      <c r="K41" s="280"/>
      <c r="L41" s="405"/>
      <c r="M41" s="405"/>
      <c r="N41" s="405"/>
      <c r="O41" s="280"/>
      <c r="P41" s="405" t="s">
        <v>438</v>
      </c>
      <c r="Q41" s="280"/>
    </row>
    <row r="42" spans="1:17" ht="15" customHeight="1">
      <c r="A42" s="438" t="s">
        <v>171</v>
      </c>
      <c r="B42" s="396"/>
      <c r="C42" s="412">
        <v>88</v>
      </c>
      <c r="D42" s="413">
        <v>74</v>
      </c>
      <c r="E42" s="413">
        <v>55</v>
      </c>
      <c r="F42" s="414">
        <v>39</v>
      </c>
      <c r="G42" s="601"/>
      <c r="I42" s="409" t="s">
        <v>436</v>
      </c>
      <c r="J42" s="279" t="s">
        <v>471</v>
      </c>
      <c r="K42" s="408"/>
      <c r="L42" s="407"/>
      <c r="M42" s="407"/>
      <c r="N42" s="407"/>
      <c r="O42" s="408"/>
      <c r="P42" s="407" t="s">
        <v>429</v>
      </c>
      <c r="Q42" s="408"/>
    </row>
    <row r="43" spans="1:17" ht="15" customHeight="1">
      <c r="A43" s="438" t="s">
        <v>172</v>
      </c>
      <c r="B43" s="396"/>
      <c r="C43" s="412">
        <v>88</v>
      </c>
      <c r="D43" s="413">
        <v>74</v>
      </c>
      <c r="E43" s="413">
        <v>55</v>
      </c>
      <c r="F43" s="414">
        <v>39</v>
      </c>
      <c r="G43" s="601"/>
      <c r="I43" s="404" t="s">
        <v>26</v>
      </c>
      <c r="J43" s="278" t="s">
        <v>439</v>
      </c>
      <c r="K43" s="402"/>
      <c r="L43" s="401"/>
      <c r="M43" s="401"/>
      <c r="N43" s="401"/>
      <c r="O43" s="402" t="s">
        <v>430</v>
      </c>
      <c r="P43" s="403" t="s">
        <v>327</v>
      </c>
      <c r="Q43" s="402"/>
    </row>
    <row r="44" spans="1:17" ht="15" customHeight="1">
      <c r="A44" s="438" t="s">
        <v>173</v>
      </c>
      <c r="B44" s="396"/>
      <c r="C44" s="412">
        <v>88</v>
      </c>
      <c r="D44" s="413">
        <v>74</v>
      </c>
      <c r="E44" s="413">
        <v>55</v>
      </c>
      <c r="F44" s="414">
        <v>39</v>
      </c>
      <c r="G44" s="601"/>
      <c r="I44" s="406" t="s">
        <v>26</v>
      </c>
      <c r="J44" s="280" t="s">
        <v>432</v>
      </c>
      <c r="K44" s="280"/>
      <c r="L44" s="410"/>
      <c r="M44" s="410"/>
      <c r="N44" s="410"/>
      <c r="O44" s="280" t="s">
        <v>430</v>
      </c>
      <c r="P44" s="410" t="s">
        <v>327</v>
      </c>
      <c r="Q44" s="280"/>
    </row>
    <row r="45" spans="1:17" ht="15" customHeight="1">
      <c r="A45" s="438" t="s">
        <v>103</v>
      </c>
      <c r="B45" s="441"/>
      <c r="C45" s="397">
        <v>294</v>
      </c>
      <c r="D45" s="372">
        <v>241</v>
      </c>
      <c r="E45" s="372">
        <v>190</v>
      </c>
      <c r="F45" s="373">
        <v>157</v>
      </c>
      <c r="G45" s="601"/>
      <c r="I45" s="406" t="s">
        <v>26</v>
      </c>
      <c r="J45" s="280" t="s">
        <v>472</v>
      </c>
      <c r="K45" s="280"/>
      <c r="L45" s="411"/>
      <c r="M45" s="411"/>
      <c r="N45" s="411"/>
      <c r="O45" s="280" t="s">
        <v>430</v>
      </c>
      <c r="P45" s="411" t="s">
        <v>431</v>
      </c>
      <c r="Q45" s="280"/>
    </row>
    <row r="46" spans="1:17" ht="15" customHeight="1">
      <c r="A46" s="438" t="s">
        <v>174</v>
      </c>
      <c r="B46" s="396"/>
      <c r="C46" s="412">
        <v>88</v>
      </c>
      <c r="D46" s="413">
        <v>74</v>
      </c>
      <c r="E46" s="413">
        <v>55</v>
      </c>
      <c r="F46" s="414">
        <v>39</v>
      </c>
      <c r="G46" s="601"/>
      <c r="I46" s="406" t="s">
        <v>26</v>
      </c>
      <c r="J46" s="277" t="s">
        <v>444</v>
      </c>
      <c r="K46" s="280"/>
      <c r="L46" s="405"/>
      <c r="M46" s="405"/>
      <c r="N46" s="405"/>
      <c r="O46" s="280"/>
      <c r="P46" s="405" t="s">
        <v>438</v>
      </c>
      <c r="Q46" s="280"/>
    </row>
    <row r="47" spans="1:17" ht="15" customHeight="1">
      <c r="A47" s="438" t="s">
        <v>95</v>
      </c>
      <c r="B47" s="396"/>
      <c r="C47" s="412">
        <v>164</v>
      </c>
      <c r="D47" s="413">
        <v>137</v>
      </c>
      <c r="E47" s="413">
        <v>102</v>
      </c>
      <c r="F47" s="414">
        <v>78</v>
      </c>
      <c r="G47" s="601"/>
      <c r="I47" s="409" t="s">
        <v>26</v>
      </c>
      <c r="J47" s="279" t="s">
        <v>471</v>
      </c>
      <c r="K47" s="408"/>
      <c r="L47" s="407"/>
      <c r="M47" s="407"/>
      <c r="N47" s="407"/>
      <c r="O47" s="408"/>
      <c r="P47" s="407" t="s">
        <v>429</v>
      </c>
      <c r="Q47" s="408"/>
    </row>
    <row r="48" spans="1:17" ht="15" customHeight="1">
      <c r="A48" s="438" t="s">
        <v>160</v>
      </c>
      <c r="B48" s="396"/>
      <c r="C48" s="412">
        <v>164</v>
      </c>
      <c r="D48" s="413">
        <v>137</v>
      </c>
      <c r="E48" s="413">
        <v>102</v>
      </c>
      <c r="F48" s="414">
        <v>78</v>
      </c>
      <c r="G48" s="601"/>
      <c r="I48" s="404" t="s">
        <v>437</v>
      </c>
      <c r="J48" s="278" t="s">
        <v>473</v>
      </c>
      <c r="K48" s="402"/>
      <c r="L48" s="401"/>
      <c r="M48" s="401"/>
      <c r="N48" s="401"/>
      <c r="O48" s="402" t="s">
        <v>430</v>
      </c>
      <c r="P48" s="401" t="s">
        <v>327</v>
      </c>
      <c r="Q48" s="402"/>
    </row>
    <row r="49" spans="1:18" ht="15" customHeight="1">
      <c r="A49" s="438" t="s">
        <v>175</v>
      </c>
      <c r="B49" s="396"/>
      <c r="C49" s="412">
        <v>88</v>
      </c>
      <c r="D49" s="413">
        <v>74</v>
      </c>
      <c r="E49" s="413">
        <v>55</v>
      </c>
      <c r="F49" s="414">
        <v>39</v>
      </c>
      <c r="G49" s="601"/>
      <c r="I49" s="406" t="s">
        <v>437</v>
      </c>
      <c r="J49" s="280" t="s">
        <v>433</v>
      </c>
      <c r="K49" s="280"/>
      <c r="L49" s="405"/>
      <c r="M49" s="405"/>
      <c r="N49" s="405"/>
      <c r="O49" s="280"/>
      <c r="P49" s="405" t="s">
        <v>438</v>
      </c>
      <c r="Q49" s="280"/>
    </row>
    <row r="50" spans="1:18" ht="15" customHeight="1">
      <c r="A50" s="438" t="s">
        <v>176</v>
      </c>
      <c r="B50" s="396"/>
      <c r="C50" s="412">
        <v>88</v>
      </c>
      <c r="D50" s="413">
        <v>74</v>
      </c>
      <c r="E50" s="413">
        <v>55</v>
      </c>
      <c r="F50" s="414">
        <v>39</v>
      </c>
      <c r="G50" s="601"/>
      <c r="I50" s="409" t="s">
        <v>437</v>
      </c>
      <c r="J50" s="279" t="s">
        <v>471</v>
      </c>
      <c r="K50" s="408"/>
      <c r="L50" s="407"/>
      <c r="M50" s="407"/>
      <c r="N50" s="407"/>
      <c r="O50" s="408"/>
      <c r="P50" s="407" t="s">
        <v>429</v>
      </c>
      <c r="Q50" s="408"/>
      <c r="R50" s="340"/>
    </row>
    <row r="51" spans="1:18" ht="15" customHeight="1">
      <c r="A51" s="438" t="s">
        <v>178</v>
      </c>
      <c r="B51" s="396"/>
      <c r="C51" s="412">
        <v>88</v>
      </c>
      <c r="D51" s="413">
        <v>74</v>
      </c>
      <c r="E51" s="413">
        <v>55</v>
      </c>
      <c r="F51" s="414">
        <v>39</v>
      </c>
      <c r="G51" s="601"/>
      <c r="I51" s="404" t="s">
        <v>434</v>
      </c>
      <c r="J51" s="278" t="s">
        <v>474</v>
      </c>
      <c r="K51" s="402"/>
      <c r="L51" s="401"/>
      <c r="M51" s="401"/>
      <c r="N51" s="401"/>
      <c r="O51" s="402" t="s">
        <v>430</v>
      </c>
      <c r="P51" s="401" t="s">
        <v>327</v>
      </c>
      <c r="Q51" s="402"/>
      <c r="R51" s="340"/>
    </row>
    <row r="52" spans="1:18" ht="15" customHeight="1">
      <c r="A52" s="438" t="s">
        <v>179</v>
      </c>
      <c r="B52" s="396"/>
      <c r="C52" s="412">
        <v>88</v>
      </c>
      <c r="D52" s="413">
        <v>74</v>
      </c>
      <c r="E52" s="413">
        <v>55</v>
      </c>
      <c r="F52" s="414">
        <v>39</v>
      </c>
      <c r="G52" s="601"/>
      <c r="I52" s="406" t="s">
        <v>434</v>
      </c>
      <c r="J52" s="277" t="s">
        <v>444</v>
      </c>
      <c r="K52" s="280"/>
      <c r="L52" s="405"/>
      <c r="M52" s="405"/>
      <c r="N52" s="405"/>
      <c r="O52" s="280"/>
      <c r="P52" s="405" t="s">
        <v>438</v>
      </c>
      <c r="Q52" s="280"/>
      <c r="R52" s="340"/>
    </row>
    <row r="53" spans="1:18" ht="15" customHeight="1">
      <c r="A53" s="438" t="s">
        <v>180</v>
      </c>
      <c r="B53" s="396"/>
      <c r="C53" s="412">
        <v>88</v>
      </c>
      <c r="D53" s="413">
        <v>74</v>
      </c>
      <c r="E53" s="413">
        <v>55</v>
      </c>
      <c r="F53" s="414">
        <v>39</v>
      </c>
      <c r="G53" s="601"/>
      <c r="I53" s="409" t="s">
        <v>434</v>
      </c>
      <c r="J53" s="279" t="s">
        <v>471</v>
      </c>
      <c r="K53" s="408"/>
      <c r="L53" s="407"/>
      <c r="M53" s="407"/>
      <c r="N53" s="407"/>
      <c r="O53" s="408"/>
      <c r="P53" s="407" t="s">
        <v>429</v>
      </c>
      <c r="Q53" s="408"/>
      <c r="R53" s="340"/>
    </row>
    <row r="54" spans="1:18" ht="15" customHeight="1">
      <c r="A54" s="438" t="s">
        <v>181</v>
      </c>
      <c r="B54" s="396"/>
      <c r="C54" s="412">
        <v>88</v>
      </c>
      <c r="D54" s="413">
        <v>74</v>
      </c>
      <c r="E54" s="413">
        <v>55</v>
      </c>
      <c r="F54" s="414">
        <v>39</v>
      </c>
      <c r="G54" s="601"/>
      <c r="I54" s="404" t="s">
        <v>435</v>
      </c>
      <c r="J54" s="278" t="s">
        <v>475</v>
      </c>
      <c r="K54" s="402"/>
      <c r="L54" s="401"/>
      <c r="M54" s="401"/>
      <c r="N54" s="401"/>
      <c r="O54" s="402"/>
      <c r="P54" s="401" t="s">
        <v>327</v>
      </c>
      <c r="Q54" s="402"/>
      <c r="R54" s="340"/>
    </row>
    <row r="55" spans="1:18" ht="15" customHeight="1">
      <c r="A55" s="438" t="s">
        <v>182</v>
      </c>
      <c r="B55" s="396"/>
      <c r="C55" s="412">
        <v>88</v>
      </c>
      <c r="D55" s="413">
        <v>74</v>
      </c>
      <c r="E55" s="413">
        <v>55</v>
      </c>
      <c r="F55" s="414">
        <v>39</v>
      </c>
      <c r="G55" s="601"/>
      <c r="I55" s="406" t="s">
        <v>435</v>
      </c>
      <c r="J55" s="277" t="s">
        <v>444</v>
      </c>
      <c r="K55" s="280"/>
      <c r="L55" s="405"/>
      <c r="M55" s="405"/>
      <c r="N55" s="405"/>
      <c r="O55" s="280"/>
      <c r="P55" s="405" t="s">
        <v>438</v>
      </c>
      <c r="Q55" s="280"/>
      <c r="R55" s="340"/>
    </row>
    <row r="56" spans="1:18" ht="15" customHeight="1">
      <c r="A56" s="438" t="s">
        <v>183</v>
      </c>
      <c r="B56" s="396"/>
      <c r="C56" s="412">
        <v>88</v>
      </c>
      <c r="D56" s="413">
        <v>74</v>
      </c>
      <c r="E56" s="413">
        <v>55</v>
      </c>
      <c r="F56" s="414">
        <v>39</v>
      </c>
      <c r="G56" s="601"/>
      <c r="I56" s="406" t="s">
        <v>435</v>
      </c>
      <c r="J56" s="280" t="s">
        <v>441</v>
      </c>
      <c r="K56" s="280"/>
      <c r="L56" s="415"/>
      <c r="M56" s="415"/>
      <c r="N56" s="415"/>
      <c r="O56" s="280"/>
      <c r="P56" s="415" t="s">
        <v>112</v>
      </c>
      <c r="Q56" s="280"/>
      <c r="R56" s="340"/>
    </row>
    <row r="57" spans="1:18" ht="15" customHeight="1">
      <c r="A57" s="438" t="s">
        <v>184</v>
      </c>
      <c r="B57" s="396"/>
      <c r="C57" s="412">
        <v>88</v>
      </c>
      <c r="D57" s="413">
        <v>74</v>
      </c>
      <c r="E57" s="413">
        <v>55</v>
      </c>
      <c r="F57" s="414">
        <v>39</v>
      </c>
      <c r="G57" s="601"/>
      <c r="I57" s="406" t="s">
        <v>435</v>
      </c>
      <c r="J57" s="280" t="s">
        <v>442</v>
      </c>
      <c r="K57" s="280"/>
      <c r="L57" s="415"/>
      <c r="M57" s="415"/>
      <c r="N57" s="415"/>
      <c r="O57" s="280"/>
      <c r="P57" s="415" t="s">
        <v>112</v>
      </c>
      <c r="Q57" s="280"/>
      <c r="R57" s="340"/>
    </row>
    <row r="58" spans="1:18" ht="15" customHeight="1">
      <c r="A58" s="438" t="s">
        <v>185</v>
      </c>
      <c r="B58" s="396"/>
      <c r="C58" s="412">
        <v>88</v>
      </c>
      <c r="D58" s="413">
        <v>74</v>
      </c>
      <c r="E58" s="413">
        <v>55</v>
      </c>
      <c r="F58" s="414">
        <v>39</v>
      </c>
      <c r="G58" s="601"/>
      <c r="I58" s="406" t="s">
        <v>435</v>
      </c>
      <c r="J58" s="280" t="s">
        <v>443</v>
      </c>
      <c r="K58" s="280"/>
      <c r="L58" s="415"/>
      <c r="M58" s="415"/>
      <c r="N58" s="415"/>
      <c r="O58" s="280"/>
      <c r="P58" s="415" t="s">
        <v>112</v>
      </c>
      <c r="Q58" s="280"/>
      <c r="R58" s="340"/>
    </row>
    <row r="59" spans="1:18" ht="15" customHeight="1">
      <c r="A59" s="438" t="s">
        <v>154</v>
      </c>
      <c r="B59" s="396"/>
      <c r="C59" s="412">
        <v>280</v>
      </c>
      <c r="D59" s="413">
        <v>214</v>
      </c>
      <c r="E59" s="413">
        <v>162</v>
      </c>
      <c r="F59" s="414">
        <v>131</v>
      </c>
      <c r="G59" s="601"/>
      <c r="I59" s="409" t="s">
        <v>435</v>
      </c>
      <c r="J59" s="279" t="s">
        <v>429</v>
      </c>
      <c r="K59" s="408"/>
      <c r="L59" s="407"/>
      <c r="M59" s="407"/>
      <c r="N59" s="407"/>
      <c r="O59" s="408"/>
      <c r="P59" s="407" t="s">
        <v>429</v>
      </c>
      <c r="Q59" s="408"/>
      <c r="R59" s="340"/>
    </row>
    <row r="60" spans="1:18" ht="15" customHeight="1">
      <c r="A60" s="438" t="s">
        <v>186</v>
      </c>
      <c r="B60" s="396"/>
      <c r="C60" s="412">
        <v>88</v>
      </c>
      <c r="D60" s="413">
        <v>74</v>
      </c>
      <c r="E60" s="413">
        <v>55</v>
      </c>
      <c r="F60" s="414">
        <v>39</v>
      </c>
      <c r="G60" s="601"/>
      <c r="J60" s="280"/>
      <c r="R60" s="340"/>
    </row>
    <row r="61" spans="1:18" ht="15" customHeight="1">
      <c r="A61" s="438" t="s">
        <v>187</v>
      </c>
      <c r="B61" s="396"/>
      <c r="C61" s="412">
        <v>88</v>
      </c>
      <c r="D61" s="413">
        <v>74</v>
      </c>
      <c r="E61" s="413">
        <v>55</v>
      </c>
      <c r="F61" s="414">
        <v>39</v>
      </c>
      <c r="G61" s="601"/>
      <c r="J61" s="280"/>
    </row>
    <row r="62" spans="1:18" ht="15" customHeight="1">
      <c r="A62" s="438" t="s">
        <v>188</v>
      </c>
      <c r="B62" s="396"/>
      <c r="C62" s="412">
        <v>88</v>
      </c>
      <c r="D62" s="413">
        <v>74</v>
      </c>
      <c r="E62" s="413">
        <v>55</v>
      </c>
      <c r="F62" s="414">
        <v>39</v>
      </c>
      <c r="G62" s="601"/>
      <c r="J62" s="280"/>
    </row>
    <row r="63" spans="1:18" ht="15" customHeight="1">
      <c r="A63" s="438" t="s">
        <v>189</v>
      </c>
      <c r="B63" s="396"/>
      <c r="C63" s="412">
        <v>88</v>
      </c>
      <c r="D63" s="413">
        <v>74</v>
      </c>
      <c r="E63" s="413">
        <v>55</v>
      </c>
      <c r="F63" s="414">
        <v>39</v>
      </c>
      <c r="G63" s="601"/>
      <c r="M63" s="340" t="s">
        <v>52</v>
      </c>
    </row>
    <row r="64" spans="1:18" ht="15" customHeight="1">
      <c r="A64" s="438" t="s">
        <v>104</v>
      </c>
      <c r="B64" s="396"/>
      <c r="C64" s="397">
        <v>294</v>
      </c>
      <c r="D64" s="372">
        <v>241</v>
      </c>
      <c r="E64" s="372">
        <v>190</v>
      </c>
      <c r="F64" s="373">
        <v>157</v>
      </c>
      <c r="G64" s="601"/>
      <c r="M64" s="340" t="s">
        <v>79</v>
      </c>
    </row>
    <row r="65" spans="1:13" ht="15.95" customHeight="1">
      <c r="A65" s="438" t="s">
        <v>190</v>
      </c>
      <c r="B65" s="396"/>
      <c r="C65" s="412">
        <v>88</v>
      </c>
      <c r="D65" s="413">
        <v>74</v>
      </c>
      <c r="E65" s="413">
        <v>55</v>
      </c>
      <c r="F65" s="414">
        <v>39</v>
      </c>
      <c r="G65" s="601"/>
      <c r="M65" s="340" t="s">
        <v>87</v>
      </c>
    </row>
    <row r="66" spans="1:13">
      <c r="A66" s="438" t="s">
        <v>191</v>
      </c>
      <c r="B66" s="396"/>
      <c r="C66" s="412">
        <v>88</v>
      </c>
      <c r="D66" s="413">
        <v>74</v>
      </c>
      <c r="E66" s="413">
        <v>55</v>
      </c>
      <c r="F66" s="414">
        <v>39</v>
      </c>
      <c r="G66" s="601"/>
      <c r="M66" s="340" t="s">
        <v>55</v>
      </c>
    </row>
    <row r="67" spans="1:13">
      <c r="A67" s="438" t="s">
        <v>192</v>
      </c>
      <c r="B67" s="396"/>
      <c r="C67" s="412">
        <v>88</v>
      </c>
      <c r="D67" s="413">
        <v>74</v>
      </c>
      <c r="E67" s="413">
        <v>55</v>
      </c>
      <c r="F67" s="414">
        <v>39</v>
      </c>
      <c r="G67" s="601"/>
    </row>
    <row r="68" spans="1:13">
      <c r="A68" s="438" t="s">
        <v>177</v>
      </c>
      <c r="B68" s="396"/>
      <c r="C68" s="412">
        <v>88</v>
      </c>
      <c r="D68" s="413">
        <v>74</v>
      </c>
      <c r="E68" s="413">
        <v>55</v>
      </c>
      <c r="F68" s="414">
        <v>39</v>
      </c>
      <c r="G68" s="601"/>
      <c r="M68" s="431"/>
    </row>
    <row r="69" spans="1:13">
      <c r="A69" s="438" t="s">
        <v>193</v>
      </c>
      <c r="B69" s="396"/>
      <c r="C69" s="412">
        <v>88</v>
      </c>
      <c r="D69" s="413">
        <v>74</v>
      </c>
      <c r="E69" s="413">
        <v>55</v>
      </c>
      <c r="F69" s="414">
        <v>39</v>
      </c>
      <c r="G69" s="601"/>
    </row>
    <row r="70" spans="1:13">
      <c r="A70" s="438" t="s">
        <v>194</v>
      </c>
      <c r="B70" s="396"/>
      <c r="C70" s="412">
        <v>88</v>
      </c>
      <c r="D70" s="413">
        <v>74</v>
      </c>
      <c r="E70" s="413">
        <v>55</v>
      </c>
      <c r="F70" s="414">
        <v>39</v>
      </c>
      <c r="G70" s="601"/>
    </row>
    <row r="71" spans="1:13">
      <c r="A71" s="438" t="s">
        <v>195</v>
      </c>
      <c r="B71" s="396"/>
      <c r="C71" s="412">
        <v>88</v>
      </c>
      <c r="D71" s="413">
        <v>74</v>
      </c>
      <c r="E71" s="413">
        <v>55</v>
      </c>
      <c r="F71" s="414">
        <v>39</v>
      </c>
      <c r="G71" s="601"/>
    </row>
    <row r="72" spans="1:13">
      <c r="A72" s="438" t="s">
        <v>196</v>
      </c>
      <c r="B72" s="396"/>
      <c r="C72" s="412">
        <v>88</v>
      </c>
      <c r="D72" s="413">
        <v>74</v>
      </c>
      <c r="E72" s="413">
        <v>55</v>
      </c>
      <c r="F72" s="414">
        <v>39</v>
      </c>
      <c r="G72" s="601"/>
    </row>
    <row r="73" spans="1:13">
      <c r="A73" s="438" t="s">
        <v>197</v>
      </c>
      <c r="B73" s="396"/>
      <c r="C73" s="412">
        <v>88</v>
      </c>
      <c r="D73" s="413">
        <v>74</v>
      </c>
      <c r="E73" s="413">
        <v>55</v>
      </c>
      <c r="F73" s="414">
        <v>39</v>
      </c>
      <c r="G73" s="601"/>
    </row>
    <row r="74" spans="1:13">
      <c r="A74" s="438" t="s">
        <v>198</v>
      </c>
      <c r="B74" s="396"/>
      <c r="C74" s="412">
        <v>88</v>
      </c>
      <c r="D74" s="413">
        <v>74</v>
      </c>
      <c r="E74" s="413">
        <v>55</v>
      </c>
      <c r="F74" s="414">
        <v>39</v>
      </c>
      <c r="G74" s="601"/>
    </row>
    <row r="75" spans="1:13">
      <c r="A75" s="438" t="s">
        <v>199</v>
      </c>
      <c r="B75" s="396"/>
      <c r="C75" s="412">
        <v>88</v>
      </c>
      <c r="D75" s="413">
        <v>74</v>
      </c>
      <c r="E75" s="413">
        <v>55</v>
      </c>
      <c r="F75" s="414">
        <v>39</v>
      </c>
      <c r="G75" s="601"/>
    </row>
    <row r="76" spans="1:13">
      <c r="A76" s="438" t="s">
        <v>200</v>
      </c>
      <c r="B76" s="396"/>
      <c r="C76" s="412">
        <v>88</v>
      </c>
      <c r="D76" s="413">
        <v>74</v>
      </c>
      <c r="E76" s="413">
        <v>55</v>
      </c>
      <c r="F76" s="414">
        <v>39</v>
      </c>
      <c r="G76" s="601"/>
    </row>
    <row r="77" spans="1:13">
      <c r="A77" s="438" t="s">
        <v>201</v>
      </c>
      <c r="B77" s="396"/>
      <c r="C77" s="412">
        <v>88</v>
      </c>
      <c r="D77" s="413">
        <v>74</v>
      </c>
      <c r="E77" s="413">
        <v>55</v>
      </c>
      <c r="F77" s="414">
        <v>39</v>
      </c>
      <c r="G77" s="601"/>
    </row>
    <row r="78" spans="1:13">
      <c r="A78" s="438" t="s">
        <v>202</v>
      </c>
      <c r="B78" s="396"/>
      <c r="C78" s="412">
        <v>88</v>
      </c>
      <c r="D78" s="413">
        <v>74</v>
      </c>
      <c r="E78" s="413">
        <v>55</v>
      </c>
      <c r="F78" s="414">
        <v>39</v>
      </c>
      <c r="G78" s="601"/>
    </row>
    <row r="79" spans="1:13">
      <c r="A79" s="438" t="s">
        <v>203</v>
      </c>
      <c r="B79" s="396"/>
      <c r="C79" s="412">
        <v>88</v>
      </c>
      <c r="D79" s="413">
        <v>74</v>
      </c>
      <c r="E79" s="413">
        <v>55</v>
      </c>
      <c r="F79" s="414">
        <v>39</v>
      </c>
      <c r="G79" s="601"/>
    </row>
    <row r="80" spans="1:13">
      <c r="A80" s="438" t="s">
        <v>204</v>
      </c>
      <c r="B80" s="396"/>
      <c r="C80" s="412">
        <v>88</v>
      </c>
      <c r="D80" s="413">
        <v>74</v>
      </c>
      <c r="E80" s="413">
        <v>55</v>
      </c>
      <c r="F80" s="414">
        <v>39</v>
      </c>
      <c r="G80" s="601"/>
    </row>
    <row r="81" spans="1:7">
      <c r="A81" s="438" t="s">
        <v>205</v>
      </c>
      <c r="B81" s="396"/>
      <c r="C81" s="412">
        <v>88</v>
      </c>
      <c r="D81" s="413">
        <v>74</v>
      </c>
      <c r="E81" s="413">
        <v>55</v>
      </c>
      <c r="F81" s="414">
        <v>39</v>
      </c>
      <c r="G81" s="601"/>
    </row>
    <row r="82" spans="1:7">
      <c r="A82" s="438" t="s">
        <v>206</v>
      </c>
      <c r="B82" s="396"/>
      <c r="C82" s="412">
        <v>88</v>
      </c>
      <c r="D82" s="413">
        <v>74</v>
      </c>
      <c r="E82" s="413">
        <v>55</v>
      </c>
      <c r="F82" s="414">
        <v>39</v>
      </c>
      <c r="G82" s="601"/>
    </row>
    <row r="83" spans="1:7">
      <c r="A83" s="438" t="s">
        <v>207</v>
      </c>
      <c r="B83" s="396"/>
      <c r="C83" s="412">
        <v>88</v>
      </c>
      <c r="D83" s="413">
        <v>74</v>
      </c>
      <c r="E83" s="413">
        <v>55</v>
      </c>
      <c r="F83" s="414">
        <v>39</v>
      </c>
      <c r="G83" s="601"/>
    </row>
    <row r="84" spans="1:7">
      <c r="A84" s="438" t="s">
        <v>161</v>
      </c>
      <c r="B84" s="396"/>
      <c r="C84" s="412">
        <v>164</v>
      </c>
      <c r="D84" s="413">
        <v>137</v>
      </c>
      <c r="E84" s="413">
        <v>102</v>
      </c>
      <c r="F84" s="414">
        <v>78</v>
      </c>
      <c r="G84" s="601"/>
    </row>
    <row r="85" spans="1:7">
      <c r="A85" s="438" t="s">
        <v>208</v>
      </c>
      <c r="B85" s="396"/>
      <c r="C85" s="412">
        <v>88</v>
      </c>
      <c r="D85" s="413">
        <v>74</v>
      </c>
      <c r="E85" s="413">
        <v>55</v>
      </c>
      <c r="F85" s="414">
        <v>39</v>
      </c>
      <c r="G85" s="601"/>
    </row>
    <row r="86" spans="1:7">
      <c r="A86" s="438" t="s">
        <v>209</v>
      </c>
      <c r="B86" s="396"/>
      <c r="C86" s="412">
        <v>88</v>
      </c>
      <c r="D86" s="413">
        <v>74</v>
      </c>
      <c r="E86" s="413">
        <v>55</v>
      </c>
      <c r="F86" s="414">
        <v>39</v>
      </c>
      <c r="G86" s="601"/>
    </row>
    <row r="87" spans="1:7">
      <c r="A87" s="438" t="s">
        <v>210</v>
      </c>
      <c r="B87" s="396"/>
      <c r="C87" s="412">
        <v>88</v>
      </c>
      <c r="D87" s="413">
        <v>74</v>
      </c>
      <c r="E87" s="413">
        <v>55</v>
      </c>
      <c r="F87" s="414">
        <v>39</v>
      </c>
      <c r="G87" s="601"/>
    </row>
    <row r="88" spans="1:7">
      <c r="A88" s="438" t="s">
        <v>211</v>
      </c>
      <c r="B88" s="396"/>
      <c r="C88" s="412">
        <v>88</v>
      </c>
      <c r="D88" s="413">
        <v>74</v>
      </c>
      <c r="E88" s="413">
        <v>55</v>
      </c>
      <c r="F88" s="414">
        <v>39</v>
      </c>
      <c r="G88" s="601"/>
    </row>
    <row r="89" spans="1:7">
      <c r="A89" s="438" t="s">
        <v>212</v>
      </c>
      <c r="B89" s="396"/>
      <c r="C89" s="412">
        <v>88</v>
      </c>
      <c r="D89" s="413">
        <v>74</v>
      </c>
      <c r="E89" s="413">
        <v>55</v>
      </c>
      <c r="F89" s="414">
        <v>39</v>
      </c>
      <c r="G89" s="601"/>
    </row>
    <row r="90" spans="1:7">
      <c r="A90" s="438" t="s">
        <v>213</v>
      </c>
      <c r="B90" s="396"/>
      <c r="C90" s="412">
        <v>88</v>
      </c>
      <c r="D90" s="413">
        <v>74</v>
      </c>
      <c r="E90" s="413">
        <v>55</v>
      </c>
      <c r="F90" s="414">
        <v>39</v>
      </c>
      <c r="G90" s="601"/>
    </row>
    <row r="91" spans="1:7">
      <c r="A91" s="438" t="s">
        <v>214</v>
      </c>
      <c r="B91" s="396"/>
      <c r="C91" s="412">
        <v>88</v>
      </c>
      <c r="D91" s="413">
        <v>74</v>
      </c>
      <c r="E91" s="413">
        <v>55</v>
      </c>
      <c r="F91" s="414">
        <v>39</v>
      </c>
      <c r="G91" s="601"/>
    </row>
    <row r="92" spans="1:7">
      <c r="A92" s="438" t="s">
        <v>215</v>
      </c>
      <c r="B92" s="396"/>
      <c r="C92" s="412">
        <v>88</v>
      </c>
      <c r="D92" s="413">
        <v>74</v>
      </c>
      <c r="E92" s="413">
        <v>55</v>
      </c>
      <c r="F92" s="414">
        <v>39</v>
      </c>
      <c r="G92" s="601"/>
    </row>
    <row r="93" spans="1:7">
      <c r="A93" s="438" t="s">
        <v>216</v>
      </c>
      <c r="B93" s="396"/>
      <c r="C93" s="412">
        <v>88</v>
      </c>
      <c r="D93" s="413">
        <v>74</v>
      </c>
      <c r="E93" s="413">
        <v>55</v>
      </c>
      <c r="F93" s="414">
        <v>39</v>
      </c>
      <c r="G93" s="601"/>
    </row>
    <row r="94" spans="1:7">
      <c r="A94" s="438" t="s">
        <v>217</v>
      </c>
      <c r="B94" s="396"/>
      <c r="C94" s="412">
        <v>88</v>
      </c>
      <c r="D94" s="413">
        <v>74</v>
      </c>
      <c r="E94" s="413">
        <v>55</v>
      </c>
      <c r="F94" s="414">
        <v>39</v>
      </c>
      <c r="G94" s="601"/>
    </row>
    <row r="95" spans="1:7">
      <c r="A95" s="438" t="s">
        <v>218</v>
      </c>
      <c r="B95" s="396"/>
      <c r="C95" s="412">
        <v>88</v>
      </c>
      <c r="D95" s="413">
        <v>74</v>
      </c>
      <c r="E95" s="413">
        <v>55</v>
      </c>
      <c r="F95" s="414">
        <v>39</v>
      </c>
      <c r="G95" s="601"/>
    </row>
    <row r="96" spans="1:7">
      <c r="A96" s="438" t="s">
        <v>219</v>
      </c>
      <c r="B96" s="396"/>
      <c r="C96" s="412">
        <v>88</v>
      </c>
      <c r="D96" s="413">
        <v>74</v>
      </c>
      <c r="E96" s="413">
        <v>55</v>
      </c>
      <c r="F96" s="414">
        <v>39</v>
      </c>
      <c r="G96" s="601"/>
    </row>
    <row r="97" spans="1:7">
      <c r="A97" s="438" t="s">
        <v>220</v>
      </c>
      <c r="B97" s="396"/>
      <c r="C97" s="412">
        <v>88</v>
      </c>
      <c r="D97" s="413">
        <v>74</v>
      </c>
      <c r="E97" s="413">
        <v>55</v>
      </c>
      <c r="F97" s="414">
        <v>39</v>
      </c>
      <c r="G97" s="601"/>
    </row>
    <row r="98" spans="1:7">
      <c r="A98" s="438" t="s">
        <v>221</v>
      </c>
      <c r="B98" s="396"/>
      <c r="C98" s="412">
        <v>88</v>
      </c>
      <c r="D98" s="413">
        <v>74</v>
      </c>
      <c r="E98" s="413">
        <v>55</v>
      </c>
      <c r="F98" s="414">
        <v>39</v>
      </c>
      <c r="G98" s="601"/>
    </row>
    <row r="99" spans="1:7">
      <c r="A99" s="438" t="s">
        <v>162</v>
      </c>
      <c r="B99" s="396"/>
      <c r="C99" s="412">
        <v>164</v>
      </c>
      <c r="D99" s="413">
        <v>137</v>
      </c>
      <c r="E99" s="413">
        <v>102</v>
      </c>
      <c r="F99" s="414">
        <v>78</v>
      </c>
      <c r="G99" s="601"/>
    </row>
    <row r="100" spans="1:7">
      <c r="A100" s="438" t="s">
        <v>222</v>
      </c>
      <c r="B100" s="396"/>
      <c r="C100" s="412">
        <v>88</v>
      </c>
      <c r="D100" s="413">
        <v>74</v>
      </c>
      <c r="E100" s="413">
        <v>55</v>
      </c>
      <c r="F100" s="414">
        <v>39</v>
      </c>
      <c r="G100" s="601"/>
    </row>
    <row r="101" spans="1:7">
      <c r="A101" s="438" t="s">
        <v>223</v>
      </c>
      <c r="B101" s="396"/>
      <c r="C101" s="412">
        <v>88</v>
      </c>
      <c r="D101" s="413">
        <v>74</v>
      </c>
      <c r="E101" s="413">
        <v>55</v>
      </c>
      <c r="F101" s="414">
        <v>39</v>
      </c>
      <c r="G101" s="601"/>
    </row>
    <row r="102" spans="1:7">
      <c r="A102" s="438" t="s">
        <v>224</v>
      </c>
      <c r="B102" s="396"/>
      <c r="C102" s="412">
        <v>88</v>
      </c>
      <c r="D102" s="413">
        <v>74</v>
      </c>
      <c r="E102" s="413">
        <v>55</v>
      </c>
      <c r="F102" s="414">
        <v>39</v>
      </c>
      <c r="G102" s="601"/>
    </row>
    <row r="103" spans="1:7">
      <c r="A103" s="438" t="s">
        <v>225</v>
      </c>
      <c r="B103" s="396"/>
      <c r="C103" s="412">
        <v>88</v>
      </c>
      <c r="D103" s="413">
        <v>74</v>
      </c>
      <c r="E103" s="413">
        <v>55</v>
      </c>
      <c r="F103" s="414">
        <v>39</v>
      </c>
      <c r="G103" s="601"/>
    </row>
    <row r="104" spans="1:7">
      <c r="A104" s="438" t="s">
        <v>163</v>
      </c>
      <c r="B104" s="396"/>
      <c r="C104" s="412">
        <v>164</v>
      </c>
      <c r="D104" s="413">
        <v>137</v>
      </c>
      <c r="E104" s="413">
        <v>102</v>
      </c>
      <c r="F104" s="414">
        <v>78</v>
      </c>
      <c r="G104" s="601"/>
    </row>
    <row r="105" spans="1:7">
      <c r="A105" s="438" t="s">
        <v>226</v>
      </c>
      <c r="B105" s="396"/>
      <c r="C105" s="412">
        <v>88</v>
      </c>
      <c r="D105" s="413">
        <v>74</v>
      </c>
      <c r="E105" s="413">
        <v>55</v>
      </c>
      <c r="F105" s="414">
        <v>39</v>
      </c>
      <c r="G105" s="601"/>
    </row>
    <row r="106" spans="1:7">
      <c r="A106" s="438" t="s">
        <v>227</v>
      </c>
      <c r="B106" s="396"/>
      <c r="C106" s="412">
        <v>88</v>
      </c>
      <c r="D106" s="413">
        <v>74</v>
      </c>
      <c r="E106" s="413">
        <v>55</v>
      </c>
      <c r="F106" s="414">
        <v>39</v>
      </c>
      <c r="G106" s="601"/>
    </row>
    <row r="107" spans="1:7">
      <c r="A107" s="438" t="s">
        <v>155</v>
      </c>
      <c r="B107" s="396"/>
      <c r="C107" s="412">
        <v>280</v>
      </c>
      <c r="D107" s="413">
        <v>214</v>
      </c>
      <c r="E107" s="413">
        <v>162</v>
      </c>
      <c r="F107" s="414">
        <v>131</v>
      </c>
      <c r="G107" s="601"/>
    </row>
    <row r="108" spans="1:7">
      <c r="A108" s="438" t="s">
        <v>228</v>
      </c>
      <c r="B108" s="396"/>
      <c r="C108" s="412">
        <v>88</v>
      </c>
      <c r="D108" s="413">
        <v>74</v>
      </c>
      <c r="E108" s="413">
        <v>55</v>
      </c>
      <c r="F108" s="414">
        <v>39</v>
      </c>
      <c r="G108" s="601"/>
    </row>
    <row r="109" spans="1:7">
      <c r="A109" s="438" t="s">
        <v>229</v>
      </c>
      <c r="B109" s="396"/>
      <c r="C109" s="412">
        <v>88</v>
      </c>
      <c r="D109" s="413">
        <v>74</v>
      </c>
      <c r="E109" s="413">
        <v>55</v>
      </c>
      <c r="F109" s="414">
        <v>39</v>
      </c>
      <c r="G109" s="601"/>
    </row>
    <row r="110" spans="1:7">
      <c r="A110" s="438" t="s">
        <v>230</v>
      </c>
      <c r="B110" s="396"/>
      <c r="C110" s="412">
        <v>88</v>
      </c>
      <c r="D110" s="413">
        <v>74</v>
      </c>
      <c r="E110" s="413">
        <v>55</v>
      </c>
      <c r="F110" s="414">
        <v>39</v>
      </c>
      <c r="G110" s="601"/>
    </row>
    <row r="111" spans="1:7">
      <c r="A111" s="438" t="s">
        <v>231</v>
      </c>
      <c r="B111" s="396"/>
      <c r="C111" s="412">
        <v>88</v>
      </c>
      <c r="D111" s="413">
        <v>74</v>
      </c>
      <c r="E111" s="413">
        <v>55</v>
      </c>
      <c r="F111" s="414">
        <v>39</v>
      </c>
      <c r="G111" s="601"/>
    </row>
    <row r="112" spans="1:7">
      <c r="A112" s="438" t="s">
        <v>232</v>
      </c>
      <c r="B112" s="396"/>
      <c r="C112" s="412">
        <v>88</v>
      </c>
      <c r="D112" s="413">
        <v>74</v>
      </c>
      <c r="E112" s="413">
        <v>55</v>
      </c>
      <c r="F112" s="414">
        <v>39</v>
      </c>
      <c r="G112" s="601"/>
    </row>
    <row r="113" spans="1:7">
      <c r="A113" s="438" t="s">
        <v>164</v>
      </c>
      <c r="B113" s="396"/>
      <c r="C113" s="412">
        <v>164</v>
      </c>
      <c r="D113" s="413">
        <v>137</v>
      </c>
      <c r="E113" s="413">
        <v>102</v>
      </c>
      <c r="F113" s="414">
        <v>78</v>
      </c>
      <c r="G113" s="601"/>
    </row>
    <row r="114" spans="1:7">
      <c r="A114" s="438" t="s">
        <v>233</v>
      </c>
      <c r="B114" s="396"/>
      <c r="C114" s="412">
        <v>88</v>
      </c>
      <c r="D114" s="413">
        <v>74</v>
      </c>
      <c r="E114" s="413">
        <v>55</v>
      </c>
      <c r="F114" s="414">
        <v>39</v>
      </c>
      <c r="G114" s="601"/>
    </row>
    <row r="115" spans="1:7">
      <c r="A115" s="438" t="s">
        <v>105</v>
      </c>
      <c r="B115" s="396"/>
      <c r="C115" s="397">
        <v>294</v>
      </c>
      <c r="D115" s="372">
        <v>241</v>
      </c>
      <c r="E115" s="372">
        <v>190</v>
      </c>
      <c r="F115" s="373">
        <v>157</v>
      </c>
      <c r="G115" s="601"/>
    </row>
    <row r="116" spans="1:7">
      <c r="A116" s="438" t="s">
        <v>234</v>
      </c>
      <c r="B116" s="396"/>
      <c r="C116" s="412">
        <v>88</v>
      </c>
      <c r="D116" s="413">
        <v>74</v>
      </c>
      <c r="E116" s="413">
        <v>55</v>
      </c>
      <c r="F116" s="414">
        <v>39</v>
      </c>
      <c r="G116" s="601"/>
    </row>
    <row r="117" spans="1:7">
      <c r="A117" s="438" t="s">
        <v>235</v>
      </c>
      <c r="B117" s="396"/>
      <c r="C117" s="412">
        <v>88</v>
      </c>
      <c r="D117" s="413">
        <v>74</v>
      </c>
      <c r="E117" s="413">
        <v>55</v>
      </c>
      <c r="F117" s="414">
        <v>39</v>
      </c>
      <c r="G117" s="601"/>
    </row>
    <row r="118" spans="1:7">
      <c r="A118" s="438" t="s">
        <v>236</v>
      </c>
      <c r="B118" s="396"/>
      <c r="C118" s="412">
        <v>88</v>
      </c>
      <c r="D118" s="413">
        <v>74</v>
      </c>
      <c r="E118" s="413">
        <v>55</v>
      </c>
      <c r="F118" s="414">
        <v>39</v>
      </c>
      <c r="G118" s="601"/>
    </row>
    <row r="119" spans="1:7">
      <c r="A119" s="438" t="s">
        <v>237</v>
      </c>
      <c r="B119" s="396"/>
      <c r="C119" s="412">
        <v>88</v>
      </c>
      <c r="D119" s="413">
        <v>74</v>
      </c>
      <c r="E119" s="413">
        <v>55</v>
      </c>
      <c r="F119" s="414">
        <v>39</v>
      </c>
      <c r="G119" s="601"/>
    </row>
    <row r="120" spans="1:7">
      <c r="A120" s="438" t="s">
        <v>238</v>
      </c>
      <c r="B120" s="396"/>
      <c r="C120" s="412">
        <v>88</v>
      </c>
      <c r="D120" s="413">
        <v>74</v>
      </c>
      <c r="E120" s="413">
        <v>55</v>
      </c>
      <c r="F120" s="414">
        <v>39</v>
      </c>
      <c r="G120" s="601"/>
    </row>
    <row r="121" spans="1:7">
      <c r="A121" s="438" t="s">
        <v>239</v>
      </c>
      <c r="B121" s="396"/>
      <c r="C121" s="412">
        <v>88</v>
      </c>
      <c r="D121" s="413">
        <v>74</v>
      </c>
      <c r="E121" s="413">
        <v>55</v>
      </c>
      <c r="F121" s="414">
        <v>39</v>
      </c>
      <c r="G121" s="601"/>
    </row>
    <row r="122" spans="1:7">
      <c r="A122" s="438" t="s">
        <v>106</v>
      </c>
      <c r="B122" s="396"/>
      <c r="C122" s="397">
        <v>294</v>
      </c>
      <c r="D122" s="372">
        <v>241</v>
      </c>
      <c r="E122" s="372">
        <v>190</v>
      </c>
      <c r="F122" s="373">
        <v>157</v>
      </c>
      <c r="G122" s="601"/>
    </row>
    <row r="123" spans="1:7">
      <c r="A123" s="438" t="s">
        <v>240</v>
      </c>
      <c r="B123" s="396"/>
      <c r="C123" s="412">
        <v>88</v>
      </c>
      <c r="D123" s="413">
        <v>74</v>
      </c>
      <c r="E123" s="413">
        <v>55</v>
      </c>
      <c r="F123" s="414">
        <v>39</v>
      </c>
      <c r="G123" s="601"/>
    </row>
    <row r="124" spans="1:7">
      <c r="A124" s="438" t="s">
        <v>241</v>
      </c>
      <c r="B124" s="396"/>
      <c r="C124" s="412">
        <v>88</v>
      </c>
      <c r="D124" s="413">
        <v>74</v>
      </c>
      <c r="E124" s="413">
        <v>55</v>
      </c>
      <c r="F124" s="414">
        <v>39</v>
      </c>
      <c r="G124" s="601"/>
    </row>
    <row r="125" spans="1:7">
      <c r="A125" s="438" t="s">
        <v>242</v>
      </c>
      <c r="B125" s="396"/>
      <c r="C125" s="412">
        <v>88</v>
      </c>
      <c r="D125" s="413">
        <v>74</v>
      </c>
      <c r="E125" s="413">
        <v>55</v>
      </c>
      <c r="F125" s="414">
        <v>39</v>
      </c>
      <c r="G125" s="601"/>
    </row>
    <row r="126" spans="1:7">
      <c r="A126" s="438" t="s">
        <v>243</v>
      </c>
      <c r="B126" s="396"/>
      <c r="C126" s="412">
        <v>88</v>
      </c>
      <c r="D126" s="413">
        <v>74</v>
      </c>
      <c r="E126" s="413">
        <v>55</v>
      </c>
      <c r="F126" s="414">
        <v>39</v>
      </c>
      <c r="G126" s="601"/>
    </row>
    <row r="127" spans="1:7">
      <c r="A127" s="438" t="s">
        <v>244</v>
      </c>
      <c r="B127" s="396"/>
      <c r="C127" s="412">
        <v>88</v>
      </c>
      <c r="D127" s="413">
        <v>74</v>
      </c>
      <c r="E127" s="413">
        <v>55</v>
      </c>
      <c r="F127" s="414">
        <v>39</v>
      </c>
      <c r="G127" s="601"/>
    </row>
    <row r="128" spans="1:7">
      <c r="A128" s="438" t="s">
        <v>245</v>
      </c>
      <c r="B128" s="396"/>
      <c r="C128" s="412">
        <v>88</v>
      </c>
      <c r="D128" s="413">
        <v>74</v>
      </c>
      <c r="E128" s="413">
        <v>55</v>
      </c>
      <c r="F128" s="414">
        <v>39</v>
      </c>
      <c r="G128" s="601"/>
    </row>
    <row r="129" spans="1:7">
      <c r="A129" s="438" t="s">
        <v>246</v>
      </c>
      <c r="B129" s="396"/>
      <c r="C129" s="412">
        <v>88</v>
      </c>
      <c r="D129" s="413">
        <v>74</v>
      </c>
      <c r="E129" s="413">
        <v>55</v>
      </c>
      <c r="F129" s="414">
        <v>39</v>
      </c>
      <c r="G129" s="601"/>
    </row>
    <row r="130" spans="1:7">
      <c r="A130" s="438" t="s">
        <v>247</v>
      </c>
      <c r="B130" s="396"/>
      <c r="C130" s="412">
        <v>88</v>
      </c>
      <c r="D130" s="413">
        <v>74</v>
      </c>
      <c r="E130" s="413">
        <v>55</v>
      </c>
      <c r="F130" s="414">
        <v>39</v>
      </c>
      <c r="G130" s="601"/>
    </row>
    <row r="131" spans="1:7">
      <c r="A131" s="438" t="s">
        <v>248</v>
      </c>
      <c r="B131" s="396"/>
      <c r="C131" s="412">
        <v>88</v>
      </c>
      <c r="D131" s="413">
        <v>74</v>
      </c>
      <c r="E131" s="413">
        <v>55</v>
      </c>
      <c r="F131" s="414">
        <v>39</v>
      </c>
      <c r="G131" s="601"/>
    </row>
    <row r="132" spans="1:7">
      <c r="A132" s="438" t="s">
        <v>249</v>
      </c>
      <c r="B132" s="396"/>
      <c r="C132" s="412">
        <v>88</v>
      </c>
      <c r="D132" s="413">
        <v>74</v>
      </c>
      <c r="E132" s="413">
        <v>55</v>
      </c>
      <c r="F132" s="414">
        <v>39</v>
      </c>
      <c r="G132" s="601"/>
    </row>
    <row r="133" spans="1:7">
      <c r="A133" s="438" t="s">
        <v>250</v>
      </c>
      <c r="B133" s="396"/>
      <c r="C133" s="412">
        <v>88</v>
      </c>
      <c r="D133" s="413">
        <v>74</v>
      </c>
      <c r="E133" s="413">
        <v>55</v>
      </c>
      <c r="F133" s="414">
        <v>39</v>
      </c>
      <c r="G133" s="601"/>
    </row>
    <row r="134" spans="1:7">
      <c r="A134" s="438" t="s">
        <v>107</v>
      </c>
      <c r="B134" s="396"/>
      <c r="C134" s="397">
        <v>294</v>
      </c>
      <c r="D134" s="372">
        <v>241</v>
      </c>
      <c r="E134" s="372">
        <v>190</v>
      </c>
      <c r="F134" s="373">
        <v>157</v>
      </c>
      <c r="G134" s="601"/>
    </row>
    <row r="135" spans="1:7">
      <c r="A135" s="438" t="s">
        <v>251</v>
      </c>
      <c r="B135" s="396"/>
      <c r="C135" s="412">
        <v>88</v>
      </c>
      <c r="D135" s="413">
        <v>74</v>
      </c>
      <c r="E135" s="413">
        <v>55</v>
      </c>
      <c r="F135" s="414">
        <v>39</v>
      </c>
      <c r="G135" s="601"/>
    </row>
    <row r="136" spans="1:7">
      <c r="A136" s="438" t="s">
        <v>252</v>
      </c>
      <c r="B136" s="396"/>
      <c r="C136" s="412">
        <v>88</v>
      </c>
      <c r="D136" s="413">
        <v>74</v>
      </c>
      <c r="E136" s="413">
        <v>55</v>
      </c>
      <c r="F136" s="414">
        <v>39</v>
      </c>
      <c r="G136" s="601"/>
    </row>
    <row r="137" spans="1:7">
      <c r="A137" s="438" t="s">
        <v>253</v>
      </c>
      <c r="B137" s="396"/>
      <c r="C137" s="412">
        <v>88</v>
      </c>
      <c r="D137" s="413">
        <v>74</v>
      </c>
      <c r="E137" s="413">
        <v>55</v>
      </c>
      <c r="F137" s="414">
        <v>39</v>
      </c>
      <c r="G137" s="601"/>
    </row>
    <row r="138" spans="1:7">
      <c r="A138" s="438" t="s">
        <v>254</v>
      </c>
      <c r="B138" s="396"/>
      <c r="C138" s="412">
        <v>88</v>
      </c>
      <c r="D138" s="413">
        <v>74</v>
      </c>
      <c r="E138" s="413">
        <v>55</v>
      </c>
      <c r="F138" s="414">
        <v>39</v>
      </c>
      <c r="G138" s="601"/>
    </row>
    <row r="139" spans="1:7">
      <c r="A139" s="438" t="s">
        <v>255</v>
      </c>
      <c r="B139" s="396"/>
      <c r="C139" s="412">
        <v>88</v>
      </c>
      <c r="D139" s="413">
        <v>74</v>
      </c>
      <c r="E139" s="413">
        <v>55</v>
      </c>
      <c r="F139" s="414">
        <v>39</v>
      </c>
      <c r="G139" s="601"/>
    </row>
    <row r="140" spans="1:7">
      <c r="A140" s="438" t="s">
        <v>256</v>
      </c>
      <c r="B140" s="396"/>
      <c r="C140" s="412">
        <v>88</v>
      </c>
      <c r="D140" s="413">
        <v>74</v>
      </c>
      <c r="E140" s="413">
        <v>55</v>
      </c>
      <c r="F140" s="414">
        <v>39</v>
      </c>
      <c r="G140" s="601"/>
    </row>
    <row r="141" spans="1:7">
      <c r="A141" s="438" t="s">
        <v>257</v>
      </c>
      <c r="B141" s="396"/>
      <c r="C141" s="412">
        <v>88</v>
      </c>
      <c r="D141" s="413">
        <v>74</v>
      </c>
      <c r="E141" s="413">
        <v>55</v>
      </c>
      <c r="F141" s="414">
        <v>39</v>
      </c>
      <c r="G141" s="601"/>
    </row>
    <row r="142" spans="1:7">
      <c r="A142" s="438" t="s">
        <v>258</v>
      </c>
      <c r="B142" s="396"/>
      <c r="C142" s="412">
        <v>88</v>
      </c>
      <c r="D142" s="413">
        <v>74</v>
      </c>
      <c r="E142" s="413">
        <v>55</v>
      </c>
      <c r="F142" s="414">
        <v>39</v>
      </c>
      <c r="G142" s="601"/>
    </row>
    <row r="143" spans="1:7">
      <c r="A143" s="438" t="s">
        <v>156</v>
      </c>
      <c r="B143" s="396"/>
      <c r="C143" s="412">
        <v>280</v>
      </c>
      <c r="D143" s="413">
        <v>214</v>
      </c>
      <c r="E143" s="413">
        <v>162</v>
      </c>
      <c r="F143" s="414">
        <v>131</v>
      </c>
      <c r="G143" s="601"/>
    </row>
    <row r="144" spans="1:7">
      <c r="A144" s="438" t="s">
        <v>259</v>
      </c>
      <c r="B144" s="396"/>
      <c r="C144" s="412">
        <v>88</v>
      </c>
      <c r="D144" s="413">
        <v>74</v>
      </c>
      <c r="E144" s="413">
        <v>55</v>
      </c>
      <c r="F144" s="414">
        <v>39</v>
      </c>
      <c r="G144" s="601"/>
    </row>
    <row r="145" spans="1:7">
      <c r="A145" s="438" t="s">
        <v>260</v>
      </c>
      <c r="B145" s="396"/>
      <c r="C145" s="412">
        <v>88</v>
      </c>
      <c r="D145" s="413">
        <v>74</v>
      </c>
      <c r="E145" s="413">
        <v>55</v>
      </c>
      <c r="F145" s="414">
        <v>39</v>
      </c>
      <c r="G145" s="601"/>
    </row>
    <row r="146" spans="1:7">
      <c r="A146" s="438" t="s">
        <v>261</v>
      </c>
      <c r="B146" s="396"/>
      <c r="C146" s="412">
        <v>88</v>
      </c>
      <c r="D146" s="413">
        <v>74</v>
      </c>
      <c r="E146" s="413">
        <v>55</v>
      </c>
      <c r="F146" s="414">
        <v>39</v>
      </c>
      <c r="G146" s="601"/>
    </row>
    <row r="147" spans="1:7">
      <c r="A147" s="438" t="s">
        <v>262</v>
      </c>
      <c r="B147" s="396"/>
      <c r="C147" s="412">
        <v>88</v>
      </c>
      <c r="D147" s="413">
        <v>74</v>
      </c>
      <c r="E147" s="413">
        <v>55</v>
      </c>
      <c r="F147" s="414">
        <v>39</v>
      </c>
      <c r="G147" s="601"/>
    </row>
    <row r="148" spans="1:7">
      <c r="A148" s="438" t="s">
        <v>165</v>
      </c>
      <c r="B148" s="396"/>
      <c r="C148" s="412">
        <v>164</v>
      </c>
      <c r="D148" s="413">
        <v>137</v>
      </c>
      <c r="E148" s="413">
        <v>102</v>
      </c>
      <c r="F148" s="414">
        <v>78</v>
      </c>
      <c r="G148" s="601"/>
    </row>
    <row r="149" spans="1:7">
      <c r="A149" s="438" t="s">
        <v>263</v>
      </c>
      <c r="B149" s="396"/>
      <c r="C149" s="412">
        <v>88</v>
      </c>
      <c r="D149" s="413">
        <v>74</v>
      </c>
      <c r="E149" s="413">
        <v>55</v>
      </c>
      <c r="F149" s="414">
        <v>39</v>
      </c>
      <c r="G149" s="601"/>
    </row>
    <row r="150" spans="1:7">
      <c r="A150" s="438" t="s">
        <v>264</v>
      </c>
      <c r="B150" s="396"/>
      <c r="C150" s="412">
        <v>88</v>
      </c>
      <c r="D150" s="413">
        <v>74</v>
      </c>
      <c r="E150" s="413">
        <v>55</v>
      </c>
      <c r="F150" s="414">
        <v>39</v>
      </c>
      <c r="G150" s="601"/>
    </row>
    <row r="151" spans="1:7">
      <c r="A151" s="438" t="s">
        <v>265</v>
      </c>
      <c r="B151" s="396"/>
      <c r="C151" s="412">
        <v>88</v>
      </c>
      <c r="D151" s="413">
        <v>74</v>
      </c>
      <c r="E151" s="413">
        <v>55</v>
      </c>
      <c r="F151" s="414">
        <v>39</v>
      </c>
      <c r="G151" s="601"/>
    </row>
    <row r="152" spans="1:7">
      <c r="A152" s="438" t="s">
        <v>266</v>
      </c>
      <c r="B152" s="396"/>
      <c r="C152" s="412">
        <v>88</v>
      </c>
      <c r="D152" s="413">
        <v>74</v>
      </c>
      <c r="E152" s="413">
        <v>55</v>
      </c>
      <c r="F152" s="414">
        <v>39</v>
      </c>
      <c r="G152" s="601"/>
    </row>
    <row r="153" spans="1:7">
      <c r="A153" s="438" t="s">
        <v>267</v>
      </c>
      <c r="B153" s="396"/>
      <c r="C153" s="412">
        <v>88</v>
      </c>
      <c r="D153" s="413">
        <v>74</v>
      </c>
      <c r="E153" s="413">
        <v>55</v>
      </c>
      <c r="F153" s="414">
        <v>39</v>
      </c>
      <c r="G153" s="601"/>
    </row>
    <row r="154" spans="1:7">
      <c r="A154" s="438" t="s">
        <v>268</v>
      </c>
      <c r="B154" s="396"/>
      <c r="C154" s="412">
        <v>88</v>
      </c>
      <c r="D154" s="413">
        <v>74</v>
      </c>
      <c r="E154" s="413">
        <v>55</v>
      </c>
      <c r="F154" s="414">
        <v>39</v>
      </c>
      <c r="G154" s="601"/>
    </row>
    <row r="155" spans="1:7">
      <c r="A155" s="438" t="s">
        <v>269</v>
      </c>
      <c r="B155" s="396"/>
      <c r="C155" s="412">
        <v>88</v>
      </c>
      <c r="D155" s="413">
        <v>74</v>
      </c>
      <c r="E155" s="413">
        <v>55</v>
      </c>
      <c r="F155" s="414">
        <v>39</v>
      </c>
      <c r="G155" s="601"/>
    </row>
    <row r="156" spans="1:7">
      <c r="A156" s="438" t="s">
        <v>270</v>
      </c>
      <c r="B156" s="396"/>
      <c r="C156" s="412">
        <v>88</v>
      </c>
      <c r="D156" s="413">
        <v>74</v>
      </c>
      <c r="E156" s="413">
        <v>55</v>
      </c>
      <c r="F156" s="414">
        <v>39</v>
      </c>
      <c r="G156" s="601"/>
    </row>
    <row r="157" spans="1:7">
      <c r="A157" s="438" t="s">
        <v>108</v>
      </c>
      <c r="B157" s="396"/>
      <c r="C157" s="397">
        <v>294</v>
      </c>
      <c r="D157" s="372">
        <v>241</v>
      </c>
      <c r="E157" s="372">
        <v>190</v>
      </c>
      <c r="F157" s="373">
        <v>157</v>
      </c>
      <c r="G157" s="601"/>
    </row>
    <row r="158" spans="1:7">
      <c r="A158" s="438" t="s">
        <v>271</v>
      </c>
      <c r="B158" s="396"/>
      <c r="C158" s="412">
        <v>88</v>
      </c>
      <c r="D158" s="413">
        <v>74</v>
      </c>
      <c r="E158" s="413">
        <v>55</v>
      </c>
      <c r="F158" s="414">
        <v>39</v>
      </c>
      <c r="G158" s="601"/>
    </row>
    <row r="159" spans="1:7">
      <c r="A159" s="438" t="s">
        <v>272</v>
      </c>
      <c r="B159" s="396"/>
      <c r="C159" s="412">
        <v>88</v>
      </c>
      <c r="D159" s="413">
        <v>74</v>
      </c>
      <c r="E159" s="413">
        <v>55</v>
      </c>
      <c r="F159" s="414">
        <v>39</v>
      </c>
      <c r="G159" s="601"/>
    </row>
    <row r="160" spans="1:7">
      <c r="A160" s="438" t="s">
        <v>273</v>
      </c>
      <c r="B160" s="396"/>
      <c r="C160" s="412">
        <v>88</v>
      </c>
      <c r="D160" s="413">
        <v>74</v>
      </c>
      <c r="E160" s="413">
        <v>55</v>
      </c>
      <c r="F160" s="414">
        <v>39</v>
      </c>
      <c r="G160" s="601"/>
    </row>
    <row r="161" spans="1:7">
      <c r="A161" s="438" t="s">
        <v>92</v>
      </c>
      <c r="B161" s="396"/>
      <c r="C161" s="397">
        <v>294</v>
      </c>
      <c r="D161" s="372">
        <v>241</v>
      </c>
      <c r="E161" s="372">
        <v>190</v>
      </c>
      <c r="F161" s="373">
        <v>157</v>
      </c>
      <c r="G161" s="601"/>
    </row>
    <row r="162" spans="1:7">
      <c r="A162" s="438" t="s">
        <v>274</v>
      </c>
      <c r="B162" s="396"/>
      <c r="C162" s="412">
        <v>88</v>
      </c>
      <c r="D162" s="413">
        <v>74</v>
      </c>
      <c r="E162" s="413">
        <v>55</v>
      </c>
      <c r="F162" s="414">
        <v>39</v>
      </c>
      <c r="G162" s="601"/>
    </row>
    <row r="163" spans="1:7">
      <c r="A163" s="438" t="s">
        <v>166</v>
      </c>
      <c r="B163" s="396"/>
      <c r="C163" s="412">
        <v>164</v>
      </c>
      <c r="D163" s="413">
        <v>137</v>
      </c>
      <c r="E163" s="413">
        <v>102</v>
      </c>
      <c r="F163" s="414">
        <v>78</v>
      </c>
      <c r="G163" s="601"/>
    </row>
    <row r="164" spans="1:7">
      <c r="A164" s="438" t="s">
        <v>275</v>
      </c>
      <c r="B164" s="396"/>
      <c r="C164" s="412">
        <v>88</v>
      </c>
      <c r="D164" s="413">
        <v>74</v>
      </c>
      <c r="E164" s="413">
        <v>55</v>
      </c>
      <c r="F164" s="414">
        <v>39</v>
      </c>
      <c r="G164" s="601"/>
    </row>
    <row r="165" spans="1:7">
      <c r="A165" s="438" t="s">
        <v>276</v>
      </c>
      <c r="B165" s="396"/>
      <c r="C165" s="412">
        <v>88</v>
      </c>
      <c r="D165" s="413">
        <v>74</v>
      </c>
      <c r="E165" s="413">
        <v>55</v>
      </c>
      <c r="F165" s="414">
        <v>39</v>
      </c>
      <c r="G165" s="601"/>
    </row>
    <row r="166" spans="1:7">
      <c r="A166" s="438" t="s">
        <v>277</v>
      </c>
      <c r="B166" s="396"/>
      <c r="C166" s="412">
        <v>88</v>
      </c>
      <c r="D166" s="413">
        <v>74</v>
      </c>
      <c r="E166" s="413">
        <v>55</v>
      </c>
      <c r="F166" s="414">
        <v>39</v>
      </c>
      <c r="G166" s="601"/>
    </row>
    <row r="167" spans="1:7">
      <c r="A167" s="438" t="s">
        <v>278</v>
      </c>
      <c r="B167" s="396"/>
      <c r="C167" s="412">
        <v>88</v>
      </c>
      <c r="D167" s="413">
        <v>74</v>
      </c>
      <c r="E167" s="413">
        <v>55</v>
      </c>
      <c r="F167" s="414">
        <v>39</v>
      </c>
      <c r="G167" s="601"/>
    </row>
    <row r="168" spans="1:7">
      <c r="A168" s="438" t="s">
        <v>157</v>
      </c>
      <c r="B168" s="396"/>
      <c r="C168" s="412">
        <v>280</v>
      </c>
      <c r="D168" s="413">
        <v>214</v>
      </c>
      <c r="E168" s="413">
        <v>162</v>
      </c>
      <c r="F168" s="414">
        <v>131</v>
      </c>
      <c r="G168" s="601"/>
    </row>
    <row r="169" spans="1:7">
      <c r="A169" s="438" t="s">
        <v>279</v>
      </c>
      <c r="B169" s="396"/>
      <c r="C169" s="412">
        <v>88</v>
      </c>
      <c r="D169" s="413">
        <v>74</v>
      </c>
      <c r="E169" s="413">
        <v>55</v>
      </c>
      <c r="F169" s="414">
        <v>39</v>
      </c>
      <c r="G169" s="601"/>
    </row>
    <row r="170" spans="1:7">
      <c r="A170" s="438" t="s">
        <v>280</v>
      </c>
      <c r="B170" s="396"/>
      <c r="C170" s="412">
        <v>88</v>
      </c>
      <c r="D170" s="413">
        <v>74</v>
      </c>
      <c r="E170" s="413">
        <v>55</v>
      </c>
      <c r="F170" s="414">
        <v>39</v>
      </c>
      <c r="G170" s="601"/>
    </row>
    <row r="171" spans="1:7">
      <c r="A171" s="438" t="s">
        <v>281</v>
      </c>
      <c r="B171" s="396"/>
      <c r="C171" s="412">
        <v>88</v>
      </c>
      <c r="D171" s="413">
        <v>74</v>
      </c>
      <c r="E171" s="413">
        <v>55</v>
      </c>
      <c r="F171" s="414">
        <v>39</v>
      </c>
      <c r="G171" s="601"/>
    </row>
    <row r="172" spans="1:7">
      <c r="A172" s="438" t="s">
        <v>282</v>
      </c>
      <c r="B172" s="396"/>
      <c r="C172" s="412">
        <v>88</v>
      </c>
      <c r="D172" s="413">
        <v>74</v>
      </c>
      <c r="E172" s="413">
        <v>55</v>
      </c>
      <c r="F172" s="414">
        <v>39</v>
      </c>
      <c r="G172" s="601"/>
    </row>
    <row r="173" spans="1:7">
      <c r="A173" s="438" t="s">
        <v>285</v>
      </c>
      <c r="B173" s="396"/>
      <c r="C173" s="412">
        <v>88</v>
      </c>
      <c r="D173" s="413">
        <v>74</v>
      </c>
      <c r="E173" s="413">
        <v>55</v>
      </c>
      <c r="F173" s="414">
        <v>39</v>
      </c>
      <c r="G173" s="601"/>
    </row>
    <row r="174" spans="1:7">
      <c r="A174" s="438" t="s">
        <v>283</v>
      </c>
      <c r="B174" s="396"/>
      <c r="C174" s="412">
        <v>88</v>
      </c>
      <c r="D174" s="413">
        <v>74</v>
      </c>
      <c r="E174" s="413">
        <v>55</v>
      </c>
      <c r="F174" s="414">
        <v>39</v>
      </c>
      <c r="G174" s="601"/>
    </row>
    <row r="175" spans="1:7">
      <c r="A175" s="438" t="s">
        <v>284</v>
      </c>
      <c r="B175" s="396"/>
      <c r="C175" s="412">
        <v>88</v>
      </c>
      <c r="D175" s="413">
        <v>74</v>
      </c>
      <c r="E175" s="413">
        <v>55</v>
      </c>
      <c r="F175" s="414">
        <v>39</v>
      </c>
      <c r="G175" s="601"/>
    </row>
    <row r="176" spans="1:7">
      <c r="A176" s="438" t="s">
        <v>286</v>
      </c>
      <c r="B176" s="396"/>
      <c r="C176" s="412">
        <v>88</v>
      </c>
      <c r="D176" s="413">
        <v>74</v>
      </c>
      <c r="E176" s="413">
        <v>55</v>
      </c>
      <c r="F176" s="414">
        <v>39</v>
      </c>
      <c r="G176" s="601"/>
    </row>
    <row r="177" spans="1:7">
      <c r="A177" s="438" t="s">
        <v>287</v>
      </c>
      <c r="B177" s="396"/>
      <c r="C177" s="412">
        <v>88</v>
      </c>
      <c r="D177" s="413">
        <v>74</v>
      </c>
      <c r="E177" s="413">
        <v>55</v>
      </c>
      <c r="F177" s="414">
        <v>39</v>
      </c>
      <c r="G177" s="601"/>
    </row>
    <row r="178" spans="1:7">
      <c r="A178" s="438" t="s">
        <v>288</v>
      </c>
      <c r="B178" s="396"/>
      <c r="C178" s="412">
        <v>88</v>
      </c>
      <c r="D178" s="413">
        <v>74</v>
      </c>
      <c r="E178" s="413">
        <v>55</v>
      </c>
      <c r="F178" s="414">
        <v>39</v>
      </c>
      <c r="G178" s="601"/>
    </row>
    <row r="179" spans="1:7">
      <c r="A179" s="436" t="s">
        <v>484</v>
      </c>
      <c r="B179" s="444"/>
      <c r="C179" s="397">
        <v>294</v>
      </c>
      <c r="D179" s="372">
        <v>241</v>
      </c>
      <c r="E179" s="372">
        <v>190</v>
      </c>
      <c r="F179" s="373">
        <v>157</v>
      </c>
      <c r="G179" s="601"/>
    </row>
    <row r="180" spans="1:7">
      <c r="A180" s="438" t="s">
        <v>289</v>
      </c>
      <c r="B180" s="396"/>
      <c r="C180" s="412">
        <v>88</v>
      </c>
      <c r="D180" s="413">
        <v>74</v>
      </c>
      <c r="E180" s="413">
        <v>55</v>
      </c>
      <c r="F180" s="414">
        <v>39</v>
      </c>
      <c r="G180" s="601"/>
    </row>
    <row r="181" spans="1:7">
      <c r="A181" s="438" t="s">
        <v>167</v>
      </c>
      <c r="B181" s="396"/>
      <c r="C181" s="412">
        <v>164</v>
      </c>
      <c r="D181" s="413">
        <v>137</v>
      </c>
      <c r="E181" s="413">
        <v>102</v>
      </c>
      <c r="F181" s="414">
        <v>78</v>
      </c>
      <c r="G181" s="601"/>
    </row>
    <row r="182" spans="1:7">
      <c r="A182" s="438" t="s">
        <v>290</v>
      </c>
      <c r="B182" s="396"/>
      <c r="C182" s="412">
        <v>88</v>
      </c>
      <c r="D182" s="413">
        <v>74</v>
      </c>
      <c r="E182" s="413">
        <v>55</v>
      </c>
      <c r="F182" s="414">
        <v>39</v>
      </c>
      <c r="G182" s="601"/>
    </row>
    <row r="183" spans="1:7">
      <c r="A183" s="438" t="s">
        <v>291</v>
      </c>
      <c r="B183" s="396"/>
      <c r="C183" s="412">
        <v>88</v>
      </c>
      <c r="D183" s="413">
        <v>74</v>
      </c>
      <c r="E183" s="413">
        <v>55</v>
      </c>
      <c r="F183" s="414">
        <v>39</v>
      </c>
      <c r="G183" s="601"/>
    </row>
    <row r="184" spans="1:7">
      <c r="A184" s="438" t="s">
        <v>292</v>
      </c>
      <c r="B184" s="396"/>
      <c r="C184" s="412">
        <v>88</v>
      </c>
      <c r="D184" s="413">
        <v>74</v>
      </c>
      <c r="E184" s="413">
        <v>55</v>
      </c>
      <c r="F184" s="414">
        <v>39</v>
      </c>
      <c r="G184" s="601"/>
    </row>
    <row r="185" spans="1:7">
      <c r="A185" s="438" t="s">
        <v>293</v>
      </c>
      <c r="B185" s="396"/>
      <c r="C185" s="412">
        <v>88</v>
      </c>
      <c r="D185" s="413">
        <v>74</v>
      </c>
      <c r="E185" s="413">
        <v>55</v>
      </c>
      <c r="F185" s="414">
        <v>39</v>
      </c>
      <c r="G185" s="601"/>
    </row>
    <row r="186" spans="1:7">
      <c r="A186" s="438" t="s">
        <v>294</v>
      </c>
      <c r="B186" s="396"/>
      <c r="C186" s="412">
        <v>88</v>
      </c>
      <c r="D186" s="413">
        <v>74</v>
      </c>
      <c r="E186" s="413">
        <v>55</v>
      </c>
      <c r="F186" s="414">
        <v>39</v>
      </c>
      <c r="G186" s="601"/>
    </row>
    <row r="187" spans="1:7">
      <c r="A187" s="438" t="s">
        <v>295</v>
      </c>
      <c r="B187" s="396"/>
      <c r="C187" s="412">
        <v>88</v>
      </c>
      <c r="D187" s="413">
        <v>74</v>
      </c>
      <c r="E187" s="413">
        <v>55</v>
      </c>
      <c r="F187" s="414">
        <v>39</v>
      </c>
      <c r="G187" s="601"/>
    </row>
    <row r="188" spans="1:7">
      <c r="A188" s="438" t="s">
        <v>296</v>
      </c>
      <c r="B188" s="396"/>
      <c r="C188" s="412">
        <v>88</v>
      </c>
      <c r="D188" s="413">
        <v>74</v>
      </c>
      <c r="E188" s="413">
        <v>55</v>
      </c>
      <c r="F188" s="414">
        <v>39</v>
      </c>
      <c r="G188" s="601"/>
    </row>
    <row r="189" spans="1:7">
      <c r="A189" s="438" t="s">
        <v>297</v>
      </c>
      <c r="B189" s="396"/>
      <c r="C189" s="412">
        <v>88</v>
      </c>
      <c r="D189" s="413">
        <v>74</v>
      </c>
      <c r="E189" s="413">
        <v>55</v>
      </c>
      <c r="F189" s="414">
        <v>39</v>
      </c>
      <c r="G189" s="601"/>
    </row>
    <row r="190" spans="1:7">
      <c r="A190" s="438" t="s">
        <v>298</v>
      </c>
      <c r="B190" s="396"/>
      <c r="C190" s="412">
        <v>88</v>
      </c>
      <c r="D190" s="413">
        <v>74</v>
      </c>
      <c r="E190" s="413">
        <v>55</v>
      </c>
      <c r="F190" s="414">
        <v>39</v>
      </c>
      <c r="G190" s="601"/>
    </row>
    <row r="191" spans="1:7">
      <c r="A191" s="438" t="s">
        <v>299</v>
      </c>
      <c r="B191" s="396"/>
      <c r="C191" s="412">
        <v>88</v>
      </c>
      <c r="D191" s="413">
        <v>74</v>
      </c>
      <c r="E191" s="413">
        <v>55</v>
      </c>
      <c r="F191" s="414">
        <v>39</v>
      </c>
      <c r="G191" s="601"/>
    </row>
    <row r="192" spans="1:7">
      <c r="A192" s="438" t="s">
        <v>300</v>
      </c>
      <c r="B192" s="396"/>
      <c r="C192" s="412">
        <v>88</v>
      </c>
      <c r="D192" s="413">
        <v>74</v>
      </c>
      <c r="E192" s="413">
        <v>55</v>
      </c>
      <c r="F192" s="414">
        <v>39</v>
      </c>
      <c r="G192" s="601"/>
    </row>
    <row r="193" spans="1:7">
      <c r="A193" s="438" t="s">
        <v>158</v>
      </c>
      <c r="B193" s="396"/>
      <c r="C193" s="412">
        <v>280</v>
      </c>
      <c r="D193" s="413">
        <v>214</v>
      </c>
      <c r="E193" s="413">
        <v>162</v>
      </c>
      <c r="F193" s="414">
        <v>131</v>
      </c>
      <c r="G193" s="601"/>
    </row>
    <row r="194" spans="1:7">
      <c r="A194" s="438" t="s">
        <v>93</v>
      </c>
      <c r="B194" s="396"/>
      <c r="C194" s="397">
        <v>294</v>
      </c>
      <c r="D194" s="372">
        <v>241</v>
      </c>
      <c r="E194" s="372">
        <v>190</v>
      </c>
      <c r="F194" s="373">
        <v>157</v>
      </c>
      <c r="G194" s="601"/>
    </row>
    <row r="195" spans="1:7">
      <c r="A195" s="438" t="s">
        <v>301</v>
      </c>
      <c r="B195" s="396"/>
      <c r="C195" s="412">
        <v>88</v>
      </c>
      <c r="D195" s="413">
        <v>74</v>
      </c>
      <c r="E195" s="413">
        <v>55</v>
      </c>
      <c r="F195" s="414">
        <v>39</v>
      </c>
      <c r="G195" s="601"/>
    </row>
    <row r="196" spans="1:7">
      <c r="A196" s="438" t="s">
        <v>302</v>
      </c>
      <c r="B196" s="396"/>
      <c r="C196" s="412">
        <v>88</v>
      </c>
      <c r="D196" s="413">
        <v>74</v>
      </c>
      <c r="E196" s="413">
        <v>55</v>
      </c>
      <c r="F196" s="414">
        <v>39</v>
      </c>
      <c r="G196" s="601"/>
    </row>
    <row r="197" spans="1:7">
      <c r="A197" s="438" t="s">
        <v>303</v>
      </c>
      <c r="B197" s="396"/>
      <c r="C197" s="412">
        <v>88</v>
      </c>
      <c r="D197" s="413">
        <v>74</v>
      </c>
      <c r="E197" s="413">
        <v>55</v>
      </c>
      <c r="F197" s="414">
        <v>39</v>
      </c>
      <c r="G197" s="601"/>
    </row>
    <row r="198" spans="1:7">
      <c r="A198" s="438" t="s">
        <v>159</v>
      </c>
      <c r="B198" s="396"/>
      <c r="C198" s="412">
        <v>280</v>
      </c>
      <c r="D198" s="413">
        <v>214</v>
      </c>
      <c r="E198" s="413">
        <v>162</v>
      </c>
      <c r="F198" s="414">
        <v>131</v>
      </c>
      <c r="G198" s="601"/>
    </row>
    <row r="199" spans="1:7">
      <c r="A199" s="438" t="s">
        <v>304</v>
      </c>
      <c r="B199" s="396"/>
      <c r="C199" s="412">
        <v>88</v>
      </c>
      <c r="D199" s="413">
        <v>74</v>
      </c>
      <c r="E199" s="413">
        <v>55</v>
      </c>
      <c r="F199" s="414">
        <v>39</v>
      </c>
      <c r="G199" s="601"/>
    </row>
    <row r="200" spans="1:7">
      <c r="A200" s="438" t="s">
        <v>305</v>
      </c>
      <c r="B200" s="396"/>
      <c r="C200" s="412">
        <v>88</v>
      </c>
      <c r="D200" s="413">
        <v>74</v>
      </c>
      <c r="E200" s="413">
        <v>55</v>
      </c>
      <c r="F200" s="414">
        <v>39</v>
      </c>
      <c r="G200" s="601"/>
    </row>
    <row r="201" spans="1:7">
      <c r="A201" s="438" t="s">
        <v>306</v>
      </c>
      <c r="B201" s="396"/>
      <c r="C201" s="412">
        <v>88</v>
      </c>
      <c r="D201" s="413">
        <v>74</v>
      </c>
      <c r="E201" s="413">
        <v>55</v>
      </c>
      <c r="F201" s="414">
        <v>39</v>
      </c>
      <c r="G201" s="601"/>
    </row>
    <row r="202" spans="1:7">
      <c r="A202" s="438" t="s">
        <v>307</v>
      </c>
      <c r="B202" s="396"/>
      <c r="C202" s="412">
        <v>88</v>
      </c>
      <c r="D202" s="413">
        <v>74</v>
      </c>
      <c r="E202" s="413">
        <v>55</v>
      </c>
      <c r="F202" s="414">
        <v>39</v>
      </c>
      <c r="G202" s="601"/>
    </row>
    <row r="203" spans="1:7" ht="16.5" thickBot="1">
      <c r="A203" s="440" t="s">
        <v>308</v>
      </c>
      <c r="B203" s="416"/>
      <c r="C203" s="417">
        <v>88</v>
      </c>
      <c r="D203" s="418">
        <v>74</v>
      </c>
      <c r="E203" s="418">
        <v>55</v>
      </c>
      <c r="F203" s="419">
        <v>39</v>
      </c>
      <c r="G203" s="602"/>
    </row>
  </sheetData>
  <sheetProtection selectLockedCells="1" selectUnlockedCells="1"/>
  <sortState ref="A37:F203">
    <sortCondition ref="A37"/>
  </sortState>
  <mergeCells count="14">
    <mergeCell ref="X2:Y2"/>
    <mergeCell ref="M1:S1"/>
    <mergeCell ref="C2:F2"/>
    <mergeCell ref="U1:V1"/>
    <mergeCell ref="R2:S2"/>
    <mergeCell ref="U2:V2"/>
    <mergeCell ref="A1:G1"/>
    <mergeCell ref="R5:S5"/>
    <mergeCell ref="G4:G36"/>
    <mergeCell ref="G37:G203"/>
    <mergeCell ref="A2:B2"/>
    <mergeCell ref="N2:P2"/>
    <mergeCell ref="J7:K7"/>
    <mergeCell ref="J2:K2"/>
  </mergeCells>
  <phoneticPr fontId="7" type="noConversion"/>
  <pageMargins left="0.75" right="0.75" top="1" bottom="1" header="0.5" footer="0.5"/>
  <pageSetup paperSize="9" scale="61" orientation="portrait" horizontalDpi="4294967292" verticalDpi="4294967292" r:id="rId1"/>
  <headerFooter>
    <oddHeader>&amp;C2014. E+ 204&amp;R&amp;"Times New Roman,Regular"Version 2014.04.02. - TKA</oddHeader>
  </headerFooter>
  <extLst>
    <ext xmlns:mx="http://schemas.microsoft.com/office/mac/excel/2008/main" uri="{64002731-A6B0-56B0-2670-7721B7C09600}">
      <mx:PLV Mode="1"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3"/>
  <sheetViews>
    <sheetView zoomScale="96" zoomScaleNormal="96" workbookViewId="0">
      <selection activeCell="B3" sqref="B3:M3"/>
    </sheetView>
  </sheetViews>
  <sheetFormatPr defaultColWidth="12.42578125" defaultRowHeight="12.75"/>
  <cols>
    <col min="1" max="1" width="3" style="471" customWidth="1"/>
    <col min="2" max="3" width="12.42578125" style="471"/>
    <col min="4" max="4" width="7.28515625" style="471" customWidth="1"/>
    <col min="5" max="12" width="12.42578125" style="471"/>
    <col min="13" max="13" width="25" style="471" customWidth="1"/>
    <col min="14" max="16384" width="12.42578125" style="471"/>
  </cols>
  <sheetData>
    <row r="1" spans="1:13" ht="19.5" customHeight="1">
      <c r="A1" s="486"/>
      <c r="B1" s="486"/>
      <c r="C1" s="486"/>
      <c r="D1" s="486"/>
      <c r="E1" s="486"/>
      <c r="F1" s="486"/>
      <c r="G1" s="486"/>
      <c r="H1" s="486"/>
      <c r="I1" s="486"/>
      <c r="J1" s="486"/>
      <c r="K1" s="486"/>
      <c r="L1" s="486"/>
      <c r="M1" s="486"/>
    </row>
    <row r="2" spans="1:13" ht="14.25">
      <c r="A2" s="472" t="s">
        <v>332</v>
      </c>
      <c r="B2" s="618"/>
    </row>
    <row r="3" spans="1:13" ht="146.1" customHeight="1">
      <c r="A3" s="472"/>
      <c r="B3" s="487" t="s">
        <v>450</v>
      </c>
      <c r="C3" s="487"/>
      <c r="D3" s="487"/>
      <c r="E3" s="487"/>
      <c r="F3" s="487"/>
      <c r="G3" s="487"/>
      <c r="H3" s="487"/>
      <c r="I3" s="487"/>
      <c r="J3" s="487"/>
      <c r="K3" s="487"/>
      <c r="L3" s="487"/>
      <c r="M3" s="487"/>
    </row>
    <row r="4" spans="1:13" ht="15.95" customHeight="1">
      <c r="A4" s="472"/>
      <c r="B4" s="489" t="s">
        <v>412</v>
      </c>
      <c r="C4" s="489"/>
      <c r="D4" s="489"/>
      <c r="E4" s="489"/>
      <c r="F4" s="489"/>
      <c r="G4" s="489"/>
      <c r="H4" s="489"/>
      <c r="I4" s="489"/>
      <c r="J4" s="489"/>
      <c r="K4" s="489"/>
      <c r="L4" s="489"/>
      <c r="M4" s="489"/>
    </row>
    <row r="5" spans="1:13" ht="18.95" customHeight="1">
      <c r="B5" s="471" t="s">
        <v>338</v>
      </c>
    </row>
    <row r="6" spans="1:13" ht="20.100000000000001" customHeight="1">
      <c r="B6" s="471" t="s">
        <v>407</v>
      </c>
    </row>
    <row r="7" spans="1:13" ht="20.100000000000001" customHeight="1">
      <c r="B7" s="471" t="s">
        <v>451</v>
      </c>
    </row>
    <row r="8" spans="1:13" ht="18.95" customHeight="1">
      <c r="B8" s="471" t="s">
        <v>419</v>
      </c>
    </row>
    <row r="9" spans="1:13">
      <c r="B9" s="471" t="s">
        <v>420</v>
      </c>
    </row>
    <row r="10" spans="1:13" ht="16.5" customHeight="1"/>
    <row r="11" spans="1:13">
      <c r="A11" s="472" t="s">
        <v>452</v>
      </c>
      <c r="B11" s="472" t="s">
        <v>396</v>
      </c>
    </row>
    <row r="12" spans="1:13">
      <c r="B12" s="471" t="s">
        <v>426</v>
      </c>
    </row>
    <row r="13" spans="1:13">
      <c r="B13" s="473" t="s">
        <v>421</v>
      </c>
    </row>
    <row r="14" spans="1:13">
      <c r="B14" s="471" t="s">
        <v>422</v>
      </c>
    </row>
    <row r="15" spans="1:13">
      <c r="B15" s="474" t="s">
        <v>498</v>
      </c>
      <c r="C15" s="474"/>
    </row>
    <row r="16" spans="1:13">
      <c r="B16" s="473"/>
    </row>
    <row r="17" spans="1:13">
      <c r="A17" s="472" t="s">
        <v>397</v>
      </c>
      <c r="B17" s="472" t="s">
        <v>453</v>
      </c>
      <c r="C17" s="472"/>
      <c r="D17" s="472"/>
      <c r="F17" s="331"/>
      <c r="G17" s="331"/>
      <c r="H17" s="331"/>
      <c r="I17" s="331"/>
      <c r="J17" s="331"/>
      <c r="K17" s="331"/>
      <c r="L17" s="331"/>
      <c r="M17" s="331"/>
    </row>
    <row r="18" spans="1:13" ht="26.25" customHeight="1">
      <c r="B18" s="490" t="s">
        <v>454</v>
      </c>
      <c r="C18" s="490"/>
      <c r="D18" s="490"/>
      <c r="E18" s="490"/>
      <c r="F18" s="490"/>
      <c r="G18" s="490"/>
      <c r="H18" s="490"/>
      <c r="I18" s="490"/>
      <c r="J18" s="490"/>
      <c r="K18" s="490"/>
      <c r="L18" s="490"/>
      <c r="M18" s="490"/>
    </row>
    <row r="19" spans="1:13">
      <c r="B19" s="472" t="s">
        <v>499</v>
      </c>
    </row>
    <row r="20" spans="1:13" ht="15" customHeight="1">
      <c r="B20" s="487" t="s">
        <v>402</v>
      </c>
      <c r="C20" s="487"/>
      <c r="D20" s="487"/>
      <c r="E20" s="487"/>
      <c r="F20" s="487"/>
      <c r="G20" s="487"/>
      <c r="H20" s="487"/>
      <c r="I20" s="487"/>
      <c r="J20" s="487"/>
      <c r="K20" s="487"/>
      <c r="L20" s="487"/>
      <c r="M20" s="487"/>
    </row>
    <row r="21" spans="1:13" ht="15" customHeight="1">
      <c r="B21" s="487"/>
      <c r="C21" s="487"/>
      <c r="D21" s="487"/>
      <c r="E21" s="487"/>
      <c r="F21" s="487"/>
      <c r="G21" s="487"/>
      <c r="H21" s="487"/>
      <c r="I21" s="487"/>
      <c r="J21" s="487"/>
      <c r="K21" s="487"/>
      <c r="L21" s="487"/>
      <c r="M21" s="487"/>
    </row>
    <row r="22" spans="1:13" ht="15" customHeight="1">
      <c r="C22" s="471" t="s">
        <v>500</v>
      </c>
    </row>
    <row r="23" spans="1:13" ht="35.1" customHeight="1">
      <c r="D23" s="488" t="s">
        <v>455</v>
      </c>
      <c r="E23" s="488"/>
      <c r="F23" s="488"/>
      <c r="G23" s="488"/>
      <c r="H23" s="488"/>
      <c r="I23" s="488"/>
      <c r="J23" s="488"/>
      <c r="K23" s="488"/>
      <c r="L23" s="488"/>
      <c r="M23" s="488"/>
    </row>
    <row r="24" spans="1:13">
      <c r="C24" s="471" t="s">
        <v>501</v>
      </c>
    </row>
    <row r="25" spans="1:13" ht="30" customHeight="1">
      <c r="D25" s="487" t="s">
        <v>456</v>
      </c>
      <c r="E25" s="487"/>
      <c r="F25" s="487"/>
      <c r="G25" s="487"/>
      <c r="H25" s="487"/>
      <c r="I25" s="487"/>
      <c r="J25" s="487"/>
      <c r="K25" s="487"/>
      <c r="L25" s="487"/>
      <c r="M25" s="487"/>
    </row>
    <row r="26" spans="1:13">
      <c r="D26" s="471" t="s">
        <v>398</v>
      </c>
    </row>
    <row r="27" spans="1:13">
      <c r="D27" s="471" t="s">
        <v>457</v>
      </c>
    </row>
    <row r="28" spans="1:13">
      <c r="D28" s="471" t="s">
        <v>399</v>
      </c>
    </row>
    <row r="29" spans="1:13">
      <c r="B29" s="487" t="s">
        <v>516</v>
      </c>
      <c r="C29" s="487"/>
      <c r="D29" s="487"/>
      <c r="E29" s="487"/>
      <c r="F29" s="487"/>
      <c r="G29" s="487"/>
      <c r="H29" s="487"/>
      <c r="I29" s="487"/>
      <c r="J29" s="487"/>
      <c r="K29" s="487"/>
      <c r="L29" s="487"/>
      <c r="M29" s="487"/>
    </row>
    <row r="30" spans="1:13" ht="45" customHeight="1">
      <c r="B30" s="487"/>
      <c r="C30" s="487"/>
      <c r="D30" s="487"/>
      <c r="E30" s="487"/>
      <c r="F30" s="487"/>
      <c r="G30" s="487"/>
      <c r="H30" s="487"/>
      <c r="I30" s="487"/>
      <c r="J30" s="487"/>
      <c r="K30" s="487"/>
      <c r="L30" s="487"/>
      <c r="M30" s="487"/>
    </row>
    <row r="32" spans="1:13">
      <c r="A32" s="472" t="s">
        <v>458</v>
      </c>
      <c r="B32" s="472" t="s">
        <v>337</v>
      </c>
    </row>
    <row r="33" spans="1:14" ht="30.95" customHeight="1">
      <c r="B33" s="482" t="s">
        <v>517</v>
      </c>
      <c r="C33" s="483"/>
      <c r="D33" s="483"/>
      <c r="E33" s="483"/>
      <c r="F33" s="483"/>
      <c r="G33" s="483"/>
      <c r="H33" s="483"/>
      <c r="I33" s="483"/>
      <c r="J33" s="483"/>
      <c r="K33" s="483"/>
      <c r="L33" s="483"/>
      <c r="M33" s="484"/>
    </row>
    <row r="34" spans="1:14">
      <c r="B34" s="471" t="s">
        <v>502</v>
      </c>
    </row>
    <row r="36" spans="1:14">
      <c r="A36" s="472" t="s">
        <v>459</v>
      </c>
      <c r="B36" s="472" t="s">
        <v>503</v>
      </c>
    </row>
    <row r="37" spans="1:14">
      <c r="B37" s="471" t="s">
        <v>408</v>
      </c>
    </row>
    <row r="38" spans="1:14">
      <c r="B38" s="471" t="s">
        <v>339</v>
      </c>
    </row>
    <row r="40" spans="1:14">
      <c r="A40" s="472" t="s">
        <v>400</v>
      </c>
      <c r="B40" s="472" t="s">
        <v>336</v>
      </c>
    </row>
    <row r="41" spans="1:14">
      <c r="A41" s="485" t="s">
        <v>335</v>
      </c>
      <c r="B41" s="485"/>
      <c r="C41" s="485"/>
      <c r="D41" s="485"/>
      <c r="E41" s="485"/>
      <c r="F41" s="485"/>
      <c r="G41" s="485"/>
      <c r="H41" s="485"/>
      <c r="I41" s="485"/>
      <c r="J41" s="485"/>
      <c r="K41" s="485"/>
      <c r="L41" s="485"/>
      <c r="M41" s="485"/>
    </row>
    <row r="43" spans="1:14" ht="27.95" customHeight="1">
      <c r="A43" s="472" t="s">
        <v>460</v>
      </c>
      <c r="B43" s="488" t="s">
        <v>461</v>
      </c>
      <c r="C43" s="488"/>
      <c r="D43" s="488"/>
      <c r="E43" s="488"/>
      <c r="F43" s="488"/>
      <c r="G43" s="488"/>
      <c r="H43" s="488"/>
      <c r="I43" s="488"/>
      <c r="J43" s="488"/>
      <c r="K43" s="488"/>
      <c r="L43" s="488"/>
      <c r="M43" s="488"/>
    </row>
    <row r="45" spans="1:14" ht="81" customHeight="1">
      <c r="A45" s="472" t="s">
        <v>401</v>
      </c>
      <c r="B45" s="488" t="s">
        <v>462</v>
      </c>
      <c r="C45" s="488"/>
      <c r="D45" s="488"/>
      <c r="E45" s="488"/>
      <c r="F45" s="488"/>
      <c r="G45" s="488"/>
      <c r="H45" s="488"/>
      <c r="I45" s="488"/>
      <c r="J45" s="488"/>
      <c r="K45" s="488"/>
      <c r="L45" s="488"/>
      <c r="M45" s="488"/>
      <c r="N45" s="480"/>
    </row>
    <row r="46" spans="1:14" ht="26.25" customHeight="1">
      <c r="B46" s="488" t="s">
        <v>463</v>
      </c>
      <c r="C46" s="488"/>
      <c r="D46" s="488"/>
      <c r="E46" s="488"/>
      <c r="F46" s="488"/>
      <c r="G46" s="488"/>
      <c r="H46" s="488"/>
      <c r="I46" s="488"/>
      <c r="J46" s="488"/>
      <c r="K46" s="488"/>
      <c r="L46" s="488"/>
      <c r="M46" s="488"/>
    </row>
    <row r="47" spans="1:14" ht="63" customHeight="1">
      <c r="B47" s="480"/>
      <c r="C47" s="488" t="s">
        <v>464</v>
      </c>
      <c r="D47" s="488"/>
      <c r="E47" s="488"/>
      <c r="F47" s="488"/>
      <c r="G47" s="488"/>
      <c r="H47" s="488"/>
      <c r="I47" s="488"/>
      <c r="J47" s="488"/>
      <c r="K47" s="488"/>
      <c r="L47" s="488"/>
      <c r="M47" s="488"/>
    </row>
    <row r="48" spans="1:14" ht="15">
      <c r="A48" s="471" t="s">
        <v>409</v>
      </c>
      <c r="B48" s="472" t="s">
        <v>340</v>
      </c>
    </row>
    <row r="49" spans="1:13" s="476" customFormat="1" ht="26.25" customHeight="1">
      <c r="A49" s="475" t="s">
        <v>334</v>
      </c>
    </row>
    <row r="50" spans="1:13" s="476" customFormat="1" ht="17.100000000000001" customHeight="1">
      <c r="A50" s="475"/>
    </row>
    <row r="51" spans="1:13" s="478" customFormat="1" ht="21" customHeight="1">
      <c r="A51" s="477" t="s">
        <v>504</v>
      </c>
    </row>
    <row r="52" spans="1:13">
      <c r="A52" s="472" t="s">
        <v>505</v>
      </c>
      <c r="B52" s="491" t="s">
        <v>506</v>
      </c>
      <c r="C52" s="492"/>
      <c r="D52" s="492"/>
      <c r="E52" s="492"/>
      <c r="F52" s="492"/>
      <c r="G52" s="492"/>
      <c r="H52" s="492"/>
      <c r="I52" s="492"/>
      <c r="J52" s="492"/>
      <c r="K52" s="492"/>
      <c r="L52" s="492"/>
      <c r="M52" s="493"/>
    </row>
    <row r="53" spans="1:13">
      <c r="A53" s="481" t="s">
        <v>507</v>
      </c>
      <c r="B53" s="494" t="s">
        <v>508</v>
      </c>
      <c r="C53" s="495"/>
      <c r="D53" s="495"/>
      <c r="E53" s="495"/>
      <c r="F53" s="495"/>
      <c r="G53" s="495"/>
      <c r="H53" s="495"/>
      <c r="I53" s="495"/>
      <c r="J53" s="495"/>
      <c r="K53" s="495"/>
      <c r="L53" s="495"/>
      <c r="M53" s="496"/>
    </row>
    <row r="54" spans="1:13" ht="66.95" customHeight="1">
      <c r="B54" s="482" t="s">
        <v>518</v>
      </c>
      <c r="C54" s="483"/>
      <c r="D54" s="483"/>
      <c r="E54" s="483"/>
      <c r="F54" s="483"/>
      <c r="G54" s="483"/>
      <c r="H54" s="483"/>
      <c r="I54" s="483"/>
      <c r="J54" s="483"/>
      <c r="K54" s="483"/>
      <c r="L54" s="483"/>
      <c r="M54" s="484"/>
    </row>
    <row r="55" spans="1:13" ht="217.5" customHeight="1">
      <c r="B55" s="482" t="s">
        <v>519</v>
      </c>
      <c r="C55" s="483"/>
      <c r="D55" s="483"/>
      <c r="E55" s="483"/>
      <c r="F55" s="483"/>
      <c r="G55" s="483"/>
      <c r="H55" s="483"/>
      <c r="I55" s="483"/>
      <c r="J55" s="483"/>
      <c r="K55" s="483"/>
      <c r="L55" s="483"/>
      <c r="M55" s="484"/>
    </row>
    <row r="56" spans="1:13">
      <c r="A56" s="473" t="s">
        <v>509</v>
      </c>
      <c r="B56" s="494" t="s">
        <v>510</v>
      </c>
      <c r="C56" s="495"/>
      <c r="D56" s="495"/>
      <c r="E56" s="495"/>
      <c r="F56" s="495"/>
      <c r="G56" s="495"/>
      <c r="H56" s="495"/>
      <c r="I56" s="495"/>
      <c r="J56" s="495"/>
      <c r="K56" s="495"/>
      <c r="L56" s="495"/>
      <c r="M56" s="496"/>
    </row>
    <row r="57" spans="1:13" ht="39" customHeight="1">
      <c r="B57" s="497" t="s">
        <v>511</v>
      </c>
      <c r="C57" s="498"/>
      <c r="D57" s="498"/>
      <c r="E57" s="498"/>
      <c r="F57" s="498"/>
      <c r="G57" s="498"/>
      <c r="H57" s="498"/>
      <c r="I57" s="498"/>
      <c r="J57" s="498"/>
      <c r="K57" s="498"/>
      <c r="L57" s="498"/>
      <c r="M57" s="499"/>
    </row>
    <row r="59" spans="1:13">
      <c r="A59" s="479" t="s">
        <v>512</v>
      </c>
      <c r="B59" s="494" t="s">
        <v>513</v>
      </c>
      <c r="C59" s="495"/>
      <c r="D59" s="495"/>
      <c r="E59" s="495"/>
      <c r="F59" s="495"/>
      <c r="G59" s="495"/>
      <c r="H59" s="495"/>
      <c r="I59" s="495"/>
      <c r="J59" s="495"/>
      <c r="K59" s="495"/>
      <c r="L59" s="495"/>
      <c r="M59" s="496"/>
    </row>
    <row r="60" spans="1:13" ht="33.950000000000003" customHeight="1">
      <c r="B60" s="482" t="s">
        <v>514</v>
      </c>
      <c r="C60" s="483"/>
      <c r="D60" s="483"/>
      <c r="E60" s="483"/>
      <c r="F60" s="483"/>
      <c r="G60" s="483"/>
      <c r="H60" s="483"/>
      <c r="I60" s="483"/>
      <c r="J60" s="483"/>
      <c r="K60" s="483"/>
      <c r="L60" s="483"/>
      <c r="M60" s="484"/>
    </row>
    <row r="61" spans="1:13" ht="50.1" customHeight="1">
      <c r="B61" s="482" t="s">
        <v>515</v>
      </c>
      <c r="C61" s="483"/>
      <c r="D61" s="483"/>
      <c r="E61" s="483"/>
      <c r="F61" s="483"/>
      <c r="G61" s="483"/>
      <c r="H61" s="483"/>
      <c r="I61" s="483"/>
      <c r="J61" s="483"/>
      <c r="K61" s="483"/>
      <c r="L61" s="483"/>
      <c r="M61" s="484"/>
    </row>
    <row r="62" spans="1:13">
      <c r="A62" s="479" t="s">
        <v>520</v>
      </c>
      <c r="B62" s="479" t="s">
        <v>521</v>
      </c>
    </row>
    <row r="63" spans="1:13" ht="93" customHeight="1">
      <c r="B63" s="482" t="s">
        <v>522</v>
      </c>
      <c r="C63" s="483"/>
      <c r="D63" s="483"/>
      <c r="E63" s="483"/>
      <c r="F63" s="483"/>
      <c r="G63" s="483"/>
      <c r="H63" s="483"/>
      <c r="I63" s="483"/>
      <c r="J63" s="483"/>
      <c r="K63" s="483"/>
      <c r="L63" s="483"/>
      <c r="M63" s="484"/>
    </row>
  </sheetData>
  <sheetProtection algorithmName="SHA-512" hashValue="VwjN6fAEppdmA5cEmC8e2XrjSmwsRmkxDFFDMWm0zXCXim8Ve4g0HD7vZZSVZkW7wXhlPZgDKgm1KHzBRRQf2Q==" saltValue="UiR6vOmRvqKbaJHdA+V51A==" spinCount="100000" sheet="1" objects="1" scenarios="1"/>
  <mergeCells count="24">
    <mergeCell ref="B63:M63"/>
    <mergeCell ref="B60:M60"/>
    <mergeCell ref="B61:M61"/>
    <mergeCell ref="B54:M54"/>
    <mergeCell ref="B55:M55"/>
    <mergeCell ref="B56:M56"/>
    <mergeCell ref="B57:M57"/>
    <mergeCell ref="B59:M59"/>
    <mergeCell ref="B43:M43"/>
    <mergeCell ref="B45:M45"/>
    <mergeCell ref="C47:M47"/>
    <mergeCell ref="B52:M52"/>
    <mergeCell ref="B53:M53"/>
    <mergeCell ref="B46:M46"/>
    <mergeCell ref="B33:M33"/>
    <mergeCell ref="A41:M41"/>
    <mergeCell ref="A1:M1"/>
    <mergeCell ref="B29:M30"/>
    <mergeCell ref="B20:M21"/>
    <mergeCell ref="D23:M23"/>
    <mergeCell ref="B3:M3"/>
    <mergeCell ref="B4:M4"/>
    <mergeCell ref="D25:M25"/>
    <mergeCell ref="B18:M18"/>
  </mergeCells>
  <phoneticPr fontId="7" type="noConversion"/>
  <hyperlinks>
    <hyperlink ref="A41" r:id="rId1"/>
  </hyperlinks>
  <pageMargins left="0.35433070866141736" right="0.35433070866141736" top="0.60916666666666663" bottom="0.98425196850393704" header="0.29749999999999999" footer="0.51181102362204722"/>
  <pageSetup paperSize="9" scale="61" orientation="portrait" horizontalDpi="4294967292" verticalDpi="4294967292" r:id="rId2"/>
  <headerFooter>
    <oddHeader>&amp;C2017. E+ KA202&amp;RVersion: 2017.02.16.. - TKA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1">
    <tabColor indexed="48"/>
  </sheetPr>
  <dimension ref="A1:E13"/>
  <sheetViews>
    <sheetView zoomScaleNormal="100" zoomScaleSheetLayoutView="120" workbookViewId="0">
      <selection activeCell="E23" sqref="E23"/>
    </sheetView>
  </sheetViews>
  <sheetFormatPr defaultColWidth="9.42578125" defaultRowHeight="12.75"/>
  <cols>
    <col min="1" max="1" width="8.28515625" style="260" customWidth="1"/>
    <col min="2" max="2" width="20.140625" style="260" bestFit="1" customWidth="1"/>
    <col min="3" max="3" width="10.140625" style="260" bestFit="1" customWidth="1"/>
    <col min="4" max="4" width="7.42578125" style="260" bestFit="1" customWidth="1"/>
    <col min="5" max="5" width="78.42578125" style="259" customWidth="1"/>
    <col min="6" max="16384" width="9.42578125" style="259"/>
  </cols>
  <sheetData>
    <row r="1" spans="1:5" ht="13.5" customHeight="1">
      <c r="A1" s="143" t="s">
        <v>49</v>
      </c>
      <c r="B1" s="143"/>
      <c r="C1" s="143"/>
      <c r="D1" s="258"/>
    </row>
    <row r="2" spans="1:5" ht="13.5" thickBot="1">
      <c r="A2" s="144"/>
      <c r="B2" s="258"/>
      <c r="C2" s="258"/>
      <c r="D2" s="258"/>
    </row>
    <row r="3" spans="1:5" ht="13.5" thickBot="1">
      <c r="A3" s="2"/>
      <c r="B3" s="262" t="s">
        <v>416</v>
      </c>
      <c r="C3" s="500"/>
      <c r="D3" s="501"/>
      <c r="E3" s="502"/>
    </row>
    <row r="4" spans="1:5" ht="13.5" thickBot="1">
      <c r="A4" s="2"/>
      <c r="B4" s="4"/>
      <c r="C4" s="4"/>
      <c r="D4" s="261" t="str">
        <f>'Total grant requested'!J5</f>
        <v/>
      </c>
    </row>
    <row r="5" spans="1:5" ht="13.5" thickBot="1">
      <c r="B5" s="255" t="s">
        <v>130</v>
      </c>
      <c r="C5" s="264">
        <f>'Total grant requested'!I6</f>
        <v>0</v>
      </c>
      <c r="D5" s="452" t="str">
        <f>'Total grant requested'!J6</f>
        <v/>
      </c>
    </row>
    <row r="6" spans="1:5" ht="13.5" thickBot="1"/>
    <row r="7" spans="1:5" ht="13.5" thickBot="1">
      <c r="B7" s="256" t="s">
        <v>50</v>
      </c>
      <c r="C7" s="257"/>
      <c r="D7" s="263" t="s">
        <v>414</v>
      </c>
    </row>
    <row r="8" spans="1:5" ht="13.5" thickBot="1"/>
    <row r="9" spans="1:5" ht="13.5" thickBot="1">
      <c r="B9" s="255" t="s">
        <v>417</v>
      </c>
      <c r="C9" s="270"/>
      <c r="D9" s="269" t="str">
        <f>IF(OR(ISBLANK(Start),AND(Start&gt;=DATE(2017,9,1),Start&lt;DATE(2018,1,1))),"","It must be between 1 September 2017 and 31 December 2017!")</f>
        <v/>
      </c>
    </row>
    <row r="10" spans="1:5" ht="13.5" thickBot="1"/>
    <row r="11" spans="1:5" ht="13.5" thickBot="1">
      <c r="B11" s="265" t="s">
        <v>418</v>
      </c>
      <c r="C11" s="268" t="str">
        <f>IF(ISBLANK(Start),"",DATE(YEAR(Start),MONTH(Start)+$C$7,DAY(Start))-1)</f>
        <v/>
      </c>
      <c r="D11" s="267" t="str">
        <f>IF(OR(ISBLANK(Start),C11&lt;=DATE(2020,8,31)),"","It is not possible after 31 August 2020!")</f>
        <v/>
      </c>
    </row>
    <row r="12" spans="1:5" ht="13.5" thickBot="1"/>
    <row r="13" spans="1:5" ht="13.5" thickBot="1">
      <c r="B13" s="255" t="s">
        <v>152</v>
      </c>
      <c r="C13" s="266" t="str">
        <f>IF(ISBLANK(C7),"",VLOOKUP(C7,Limit,2,0))</f>
        <v/>
      </c>
    </row>
  </sheetData>
  <sheetProtection password="CBC2" sheet="1" objects="1" scenarios="1"/>
  <mergeCells count="1">
    <mergeCell ref="C3:E3"/>
  </mergeCells>
  <phoneticPr fontId="7" type="noConversion"/>
  <conditionalFormatting sqref="C5">
    <cfRule type="expression" dxfId="24" priority="1" stopIfTrue="1">
      <formula>D5&lt;&gt;""</formula>
    </cfRule>
    <cfRule type="cellIs" dxfId="23" priority="12" stopIfTrue="1" operator="equal">
      <formula>"ERROR"</formula>
    </cfRule>
  </conditionalFormatting>
  <conditionalFormatting sqref="C9">
    <cfRule type="expression" dxfId="22" priority="4" stopIfTrue="1">
      <formula>D9&lt;&gt;""</formula>
    </cfRule>
  </conditionalFormatting>
  <conditionalFormatting sqref="C11">
    <cfRule type="expression" dxfId="21" priority="2" stopIfTrue="1">
      <formula>D11&lt;&gt;""</formula>
    </cfRule>
  </conditionalFormatting>
  <dataValidations disablePrompts="1" count="1">
    <dataValidation type="list" showInputMessage="1" showErrorMessage="1" sqref="C7">
      <formula1>Duration</formula1>
    </dataValidation>
  </dataValidations>
  <printOptions horizontalCentered="1"/>
  <pageMargins left="0.35433070866141736" right="0.35433070866141736" top="1.3385826771653544" bottom="0.98425196850393704" header="0.51181102362204722" footer="0.51181102362204722"/>
  <pageSetup paperSize="9" orientation="landscape" r:id="rId1"/>
  <headerFooter scaleWithDoc="0">
    <oddHeader>&amp;C&amp;11 2017. E+ KA202&amp;RVersion: 2017.02.16
. - TKA</oddHeader>
    <oddFooter>&amp;C&amp;"Arial,Félkövér"&amp;A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M46"/>
  <sheetViews>
    <sheetView showGridLines="0" zoomScaleNormal="100" workbookViewId="0">
      <selection activeCell="AJ21" sqref="AJ21"/>
    </sheetView>
  </sheetViews>
  <sheetFormatPr defaultColWidth="8.85546875" defaultRowHeight="15"/>
  <cols>
    <col min="1" max="1" width="2.85546875" style="111" customWidth="1"/>
    <col min="2" max="2" width="19.42578125" style="111" customWidth="1"/>
    <col min="3" max="3" width="9.28515625" style="111" customWidth="1"/>
    <col min="4" max="4" width="3.85546875" style="111" customWidth="1"/>
    <col min="5" max="12" width="3.85546875" style="111" bestFit="1" customWidth="1"/>
    <col min="13" max="39" width="4.85546875" style="111" bestFit="1" customWidth="1"/>
    <col min="40" max="16384" width="8.85546875" style="111"/>
  </cols>
  <sheetData>
    <row r="1" spans="2:39" ht="15.75" thickBot="1">
      <c r="B1" s="110" t="s">
        <v>341</v>
      </c>
      <c r="C1" s="515" t="s">
        <v>342</v>
      </c>
      <c r="D1" s="516"/>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516"/>
      <c r="AH1" s="516"/>
      <c r="AI1" s="516"/>
      <c r="AJ1" s="516"/>
      <c r="AK1" s="516"/>
      <c r="AL1" s="516"/>
      <c r="AM1" s="517"/>
    </row>
    <row r="2" spans="2:39" ht="15.75" thickBot="1">
      <c r="B2" s="110"/>
    </row>
    <row r="3" spans="2:39" ht="15.75" thickBot="1">
      <c r="B3" s="503" t="s">
        <v>343</v>
      </c>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c r="AL3" s="504"/>
      <c r="AM3" s="505"/>
    </row>
    <row r="5" spans="2:39">
      <c r="B5" s="112"/>
      <c r="C5" s="113" t="s">
        <v>448</v>
      </c>
      <c r="D5" s="113" t="s">
        <v>344</v>
      </c>
      <c r="E5" s="113" t="s">
        <v>345</v>
      </c>
      <c r="F5" s="113" t="s">
        <v>346</v>
      </c>
      <c r="G5" s="113" t="s">
        <v>347</v>
      </c>
      <c r="H5" s="113" t="s">
        <v>348</v>
      </c>
      <c r="I5" s="113" t="s">
        <v>349</v>
      </c>
      <c r="J5" s="113" t="s">
        <v>350</v>
      </c>
      <c r="K5" s="113" t="s">
        <v>351</v>
      </c>
      <c r="L5" s="113" t="s">
        <v>352</v>
      </c>
      <c r="M5" s="113" t="s">
        <v>353</v>
      </c>
      <c r="N5" s="113" t="s">
        <v>354</v>
      </c>
      <c r="O5" s="113" t="s">
        <v>355</v>
      </c>
      <c r="P5" s="113" t="s">
        <v>356</v>
      </c>
      <c r="Q5" s="113" t="s">
        <v>357</v>
      </c>
      <c r="R5" s="113" t="s">
        <v>358</v>
      </c>
      <c r="S5" s="113" t="s">
        <v>359</v>
      </c>
      <c r="T5" s="113" t="s">
        <v>360</v>
      </c>
      <c r="U5" s="113" t="s">
        <v>361</v>
      </c>
      <c r="V5" s="113" t="s">
        <v>362</v>
      </c>
      <c r="W5" s="113" t="s">
        <v>363</v>
      </c>
      <c r="X5" s="113" t="s">
        <v>364</v>
      </c>
      <c r="Y5" s="113" t="s">
        <v>365</v>
      </c>
      <c r="Z5" s="113" t="s">
        <v>366</v>
      </c>
      <c r="AA5" s="113" t="s">
        <v>367</v>
      </c>
      <c r="AB5" s="113" t="s">
        <v>368</v>
      </c>
      <c r="AC5" s="113" t="s">
        <v>369</v>
      </c>
      <c r="AD5" s="113" t="s">
        <v>370</v>
      </c>
      <c r="AE5" s="113" t="s">
        <v>371</v>
      </c>
      <c r="AF5" s="113" t="s">
        <v>372</v>
      </c>
      <c r="AG5" s="113" t="s">
        <v>373</v>
      </c>
      <c r="AH5" s="113" t="s">
        <v>374</v>
      </c>
      <c r="AI5" s="113" t="s">
        <v>375</v>
      </c>
      <c r="AJ5" s="113" t="s">
        <v>376</v>
      </c>
      <c r="AK5" s="113" t="s">
        <v>377</v>
      </c>
      <c r="AL5" s="113" t="s">
        <v>378</v>
      </c>
      <c r="AM5" s="113" t="s">
        <v>379</v>
      </c>
    </row>
    <row r="6" spans="2:39">
      <c r="B6" s="114" t="s">
        <v>380</v>
      </c>
      <c r="C6" s="115"/>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7"/>
    </row>
    <row r="7" spans="2:39">
      <c r="B7" s="251"/>
      <c r="C7" s="254"/>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3"/>
      <c r="AD7" s="253"/>
      <c r="AE7" s="253"/>
      <c r="AF7" s="253"/>
      <c r="AG7" s="253"/>
      <c r="AH7" s="253"/>
      <c r="AI7" s="253"/>
      <c r="AJ7" s="253"/>
      <c r="AK7" s="253"/>
      <c r="AL7" s="253"/>
      <c r="AM7" s="253"/>
    </row>
    <row r="8" spans="2:39">
      <c r="B8" s="251"/>
      <c r="C8" s="254"/>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3"/>
      <c r="AD8" s="253"/>
      <c r="AE8" s="253"/>
      <c r="AF8" s="253"/>
      <c r="AG8" s="253"/>
      <c r="AH8" s="253"/>
      <c r="AI8" s="253"/>
      <c r="AJ8" s="253"/>
      <c r="AK8" s="253"/>
      <c r="AL8" s="253"/>
      <c r="AM8" s="253"/>
    </row>
    <row r="9" spans="2:39">
      <c r="B9" s="251"/>
      <c r="C9" s="254"/>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3"/>
      <c r="AD9" s="253"/>
      <c r="AE9" s="253"/>
      <c r="AF9" s="253"/>
      <c r="AG9" s="253"/>
      <c r="AH9" s="253"/>
      <c r="AI9" s="253"/>
      <c r="AJ9" s="253"/>
      <c r="AK9" s="253"/>
      <c r="AL9" s="253"/>
      <c r="AM9" s="253"/>
    </row>
    <row r="10" spans="2:39">
      <c r="B10" s="251"/>
      <c r="C10" s="254"/>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3"/>
      <c r="AD10" s="253"/>
      <c r="AE10" s="253"/>
      <c r="AF10" s="253"/>
      <c r="AG10" s="253"/>
      <c r="AH10" s="253"/>
      <c r="AI10" s="253"/>
      <c r="AJ10" s="253"/>
      <c r="AK10" s="253"/>
      <c r="AL10" s="253"/>
      <c r="AM10" s="253"/>
    </row>
    <row r="11" spans="2:39">
      <c r="B11" s="251"/>
      <c r="C11" s="254"/>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3"/>
      <c r="AD11" s="253"/>
      <c r="AE11" s="253"/>
      <c r="AF11" s="253"/>
      <c r="AG11" s="253"/>
      <c r="AH11" s="253"/>
      <c r="AI11" s="253"/>
      <c r="AJ11" s="253"/>
      <c r="AK11" s="253"/>
      <c r="AL11" s="253"/>
      <c r="AM11" s="253"/>
    </row>
    <row r="12" spans="2:39">
      <c r="B12" s="251"/>
      <c r="C12" s="254"/>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3"/>
      <c r="AD12" s="253"/>
      <c r="AE12" s="253"/>
      <c r="AF12" s="253"/>
      <c r="AG12" s="253"/>
      <c r="AH12" s="253"/>
      <c r="AI12" s="253"/>
      <c r="AJ12" s="253"/>
      <c r="AK12" s="253"/>
      <c r="AL12" s="253"/>
      <c r="AM12" s="253"/>
    </row>
    <row r="13" spans="2:39">
      <c r="B13" s="251"/>
      <c r="C13" s="254"/>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3"/>
      <c r="AD13" s="253"/>
      <c r="AE13" s="253"/>
      <c r="AF13" s="253"/>
      <c r="AG13" s="253"/>
      <c r="AH13" s="253"/>
      <c r="AI13" s="253"/>
      <c r="AJ13" s="253"/>
      <c r="AK13" s="253"/>
      <c r="AL13" s="253"/>
      <c r="AM13" s="253"/>
    </row>
    <row r="14" spans="2:39">
      <c r="B14" s="251"/>
      <c r="C14" s="254"/>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3"/>
      <c r="AD14" s="253"/>
      <c r="AE14" s="253"/>
      <c r="AF14" s="253"/>
      <c r="AG14" s="253"/>
      <c r="AH14" s="253"/>
      <c r="AI14" s="253"/>
      <c r="AJ14" s="253"/>
      <c r="AK14" s="253"/>
      <c r="AL14" s="253"/>
      <c r="AM14" s="253"/>
    </row>
    <row r="15" spans="2:39">
      <c r="B15" s="251"/>
      <c r="C15" s="254"/>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3"/>
      <c r="AD15" s="253"/>
      <c r="AE15" s="253"/>
      <c r="AF15" s="253"/>
      <c r="AG15" s="253"/>
      <c r="AH15" s="253"/>
      <c r="AI15" s="253"/>
      <c r="AJ15" s="253"/>
      <c r="AK15" s="253"/>
      <c r="AL15" s="253"/>
      <c r="AM15" s="253"/>
    </row>
    <row r="16" spans="2:39">
      <c r="B16" s="251"/>
      <c r="C16" s="254"/>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3"/>
      <c r="AD16" s="253"/>
      <c r="AE16" s="253"/>
      <c r="AF16" s="253"/>
      <c r="AG16" s="253"/>
      <c r="AH16" s="253"/>
      <c r="AI16" s="253"/>
      <c r="AJ16" s="253"/>
      <c r="AK16" s="253"/>
      <c r="AL16" s="253"/>
      <c r="AM16" s="253"/>
    </row>
    <row r="17" spans="2:39">
      <c r="B17" s="251"/>
      <c r="C17" s="254"/>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3"/>
      <c r="AD17" s="253"/>
      <c r="AE17" s="253"/>
      <c r="AF17" s="253"/>
      <c r="AG17" s="253"/>
      <c r="AH17" s="253"/>
      <c r="AI17" s="253"/>
      <c r="AJ17" s="253"/>
      <c r="AK17" s="253"/>
      <c r="AL17" s="253"/>
      <c r="AM17" s="253"/>
    </row>
    <row r="18" spans="2:39">
      <c r="B18" s="251"/>
      <c r="C18" s="254"/>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3"/>
      <c r="AD18" s="253"/>
      <c r="AE18" s="253"/>
      <c r="AF18" s="253"/>
      <c r="AG18" s="253"/>
      <c r="AH18" s="253"/>
      <c r="AI18" s="253"/>
      <c r="AJ18" s="253"/>
      <c r="AK18" s="253"/>
      <c r="AL18" s="253"/>
      <c r="AM18" s="253"/>
    </row>
    <row r="19" spans="2:39">
      <c r="B19" s="251"/>
      <c r="C19" s="254"/>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3"/>
      <c r="AD19" s="253"/>
      <c r="AE19" s="253"/>
      <c r="AF19" s="253"/>
      <c r="AG19" s="253"/>
      <c r="AH19" s="253"/>
      <c r="AI19" s="253"/>
      <c r="AJ19" s="253"/>
      <c r="AK19" s="253"/>
      <c r="AL19" s="253"/>
      <c r="AM19" s="253"/>
    </row>
    <row r="20" spans="2:39">
      <c r="B20" s="251"/>
      <c r="C20" s="254"/>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3"/>
      <c r="AD20" s="253"/>
      <c r="AE20" s="253"/>
      <c r="AF20" s="253"/>
      <c r="AG20" s="253"/>
      <c r="AH20" s="253"/>
      <c r="AI20" s="253"/>
      <c r="AJ20" s="253"/>
      <c r="AK20" s="253"/>
      <c r="AL20" s="253"/>
      <c r="AM20" s="253"/>
    </row>
    <row r="21" spans="2:39">
      <c r="B21" s="251"/>
      <c r="C21" s="254"/>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3"/>
      <c r="AD21" s="253"/>
      <c r="AE21" s="253"/>
      <c r="AF21" s="253"/>
      <c r="AG21" s="253"/>
      <c r="AH21" s="253"/>
      <c r="AI21" s="253"/>
      <c r="AJ21" s="253"/>
      <c r="AK21" s="253"/>
      <c r="AL21" s="253"/>
      <c r="AM21" s="253"/>
    </row>
    <row r="22" spans="2:39">
      <c r="B22" s="251"/>
      <c r="C22" s="254"/>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3"/>
      <c r="AD22" s="253"/>
      <c r="AE22" s="253"/>
      <c r="AF22" s="253"/>
      <c r="AG22" s="253"/>
      <c r="AH22" s="253"/>
      <c r="AI22" s="253"/>
      <c r="AJ22" s="253"/>
      <c r="AK22" s="253"/>
      <c r="AL22" s="253"/>
      <c r="AM22" s="253"/>
    </row>
    <row r="23" spans="2:39">
      <c r="B23" s="251"/>
      <c r="C23" s="254"/>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3"/>
      <c r="AD23" s="253"/>
      <c r="AE23" s="253"/>
      <c r="AF23" s="253"/>
      <c r="AG23" s="253"/>
      <c r="AH23" s="253"/>
      <c r="AI23" s="253"/>
      <c r="AJ23" s="253"/>
      <c r="AK23" s="253"/>
      <c r="AL23" s="253"/>
      <c r="AM23" s="253"/>
    </row>
    <row r="24" spans="2:39">
      <c r="B24" s="251"/>
      <c r="C24" s="254"/>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3"/>
      <c r="AD24" s="253"/>
      <c r="AE24" s="253"/>
      <c r="AF24" s="253"/>
      <c r="AG24" s="253"/>
      <c r="AH24" s="253"/>
      <c r="AI24" s="253"/>
      <c r="AJ24" s="253"/>
      <c r="AK24" s="253"/>
      <c r="AL24" s="253"/>
      <c r="AM24" s="253"/>
    </row>
    <row r="25" spans="2:39">
      <c r="B25" s="251"/>
      <c r="C25" s="254"/>
      <c r="D25" s="252"/>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3"/>
      <c r="AD25" s="253"/>
      <c r="AE25" s="253"/>
      <c r="AF25" s="253"/>
      <c r="AG25" s="253"/>
      <c r="AH25" s="253"/>
      <c r="AI25" s="253"/>
      <c r="AJ25" s="253"/>
      <c r="AK25" s="253"/>
      <c r="AL25" s="253"/>
      <c r="AM25" s="253"/>
    </row>
    <row r="26" spans="2:39">
      <c r="B26" s="251"/>
      <c r="C26" s="254"/>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3"/>
      <c r="AD26" s="253"/>
      <c r="AE26" s="253"/>
      <c r="AF26" s="253"/>
      <c r="AG26" s="253"/>
      <c r="AH26" s="253"/>
      <c r="AI26" s="253"/>
      <c r="AJ26" s="253"/>
      <c r="AK26" s="253"/>
      <c r="AL26" s="253"/>
      <c r="AM26" s="253"/>
    </row>
    <row r="27" spans="2:39">
      <c r="B27" s="251"/>
      <c r="C27" s="254"/>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3"/>
      <c r="AD27" s="253"/>
      <c r="AE27" s="253"/>
      <c r="AF27" s="253"/>
      <c r="AG27" s="253"/>
      <c r="AH27" s="253"/>
      <c r="AI27" s="253"/>
      <c r="AJ27" s="253"/>
      <c r="AK27" s="253"/>
      <c r="AL27" s="253"/>
      <c r="AM27" s="253"/>
    </row>
    <row r="28" spans="2:39">
      <c r="B28" s="251"/>
      <c r="C28" s="254"/>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3"/>
      <c r="AD28" s="253"/>
      <c r="AE28" s="253"/>
      <c r="AF28" s="253"/>
      <c r="AG28" s="253"/>
      <c r="AH28" s="253"/>
      <c r="AI28" s="253"/>
      <c r="AJ28" s="253"/>
      <c r="AK28" s="253"/>
      <c r="AL28" s="253"/>
      <c r="AM28" s="253"/>
    </row>
    <row r="29" spans="2:39">
      <c r="B29" s="251"/>
      <c r="C29" s="254"/>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3"/>
      <c r="AD29" s="253"/>
      <c r="AE29" s="253"/>
      <c r="AF29" s="253"/>
      <c r="AG29" s="253"/>
      <c r="AH29" s="253"/>
      <c r="AI29" s="253"/>
      <c r="AJ29" s="253"/>
      <c r="AK29" s="253"/>
      <c r="AL29" s="253"/>
      <c r="AM29" s="253"/>
    </row>
    <row r="30" spans="2:39">
      <c r="B30" s="251"/>
      <c r="C30" s="254"/>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3"/>
      <c r="AD30" s="253"/>
      <c r="AE30" s="253"/>
      <c r="AF30" s="253"/>
      <c r="AG30" s="253"/>
      <c r="AH30" s="253"/>
      <c r="AI30" s="253"/>
      <c r="AJ30" s="253"/>
      <c r="AK30" s="253"/>
      <c r="AL30" s="253"/>
      <c r="AM30" s="253"/>
    </row>
    <row r="31" spans="2:39">
      <c r="B31" s="251"/>
      <c r="C31" s="254"/>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3"/>
      <c r="AD31" s="253"/>
      <c r="AE31" s="253"/>
      <c r="AF31" s="253"/>
      <c r="AG31" s="253"/>
      <c r="AH31" s="253"/>
      <c r="AI31" s="253"/>
      <c r="AJ31" s="253"/>
      <c r="AK31" s="253"/>
      <c r="AL31" s="253"/>
      <c r="AM31" s="253"/>
    </row>
    <row r="32" spans="2:39">
      <c r="B32" s="251"/>
      <c r="C32" s="254"/>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3"/>
      <c r="AD32" s="253"/>
      <c r="AE32" s="253"/>
      <c r="AF32" s="253"/>
      <c r="AG32" s="253"/>
      <c r="AH32" s="253"/>
      <c r="AI32" s="253"/>
      <c r="AJ32" s="253"/>
      <c r="AK32" s="253"/>
      <c r="AL32" s="253"/>
      <c r="AM32" s="253"/>
    </row>
    <row r="33" spans="2:39">
      <c r="B33" s="251"/>
      <c r="C33" s="254"/>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3"/>
      <c r="AD33" s="253"/>
      <c r="AE33" s="253"/>
      <c r="AF33" s="253"/>
      <c r="AG33" s="253"/>
      <c r="AH33" s="253"/>
      <c r="AI33" s="253"/>
      <c r="AJ33" s="253"/>
      <c r="AK33" s="253"/>
      <c r="AL33" s="253"/>
      <c r="AM33" s="253"/>
    </row>
    <row r="34" spans="2:39">
      <c r="B34" s="118" t="s">
        <v>381</v>
      </c>
    </row>
    <row r="35" spans="2:39">
      <c r="B35" s="118"/>
    </row>
    <row r="36" spans="2:39">
      <c r="B36" s="119" t="s">
        <v>382</v>
      </c>
      <c r="C36" s="120"/>
      <c r="D36" s="120"/>
      <c r="E36" s="120"/>
      <c r="F36" s="120"/>
      <c r="G36" s="120"/>
      <c r="H36" s="120"/>
      <c r="I36" s="120"/>
      <c r="J36" s="120"/>
      <c r="K36" s="120"/>
      <c r="L36" s="120"/>
      <c r="M36" s="120"/>
      <c r="N36" s="120"/>
      <c r="O36" s="120"/>
      <c r="P36" s="121"/>
    </row>
    <row r="37" spans="2:39">
      <c r="B37" s="122"/>
      <c r="C37" s="123" t="s">
        <v>383</v>
      </c>
      <c r="D37" s="124" t="s">
        <v>384</v>
      </c>
      <c r="E37" s="123"/>
      <c r="F37" s="123"/>
      <c r="G37" s="123"/>
      <c r="H37" s="123"/>
      <c r="I37" s="123"/>
      <c r="J37" s="123"/>
      <c r="K37" s="123"/>
      <c r="L37" s="123"/>
      <c r="M37" s="123"/>
      <c r="N37" s="123"/>
      <c r="O37" s="123"/>
      <c r="P37" s="125"/>
    </row>
    <row r="38" spans="2:39">
      <c r="B38" s="122"/>
      <c r="C38" s="123" t="s">
        <v>385</v>
      </c>
      <c r="D38" s="124" t="s">
        <v>386</v>
      </c>
      <c r="E38" s="126"/>
      <c r="F38" s="126"/>
      <c r="G38" s="126"/>
      <c r="H38" s="126"/>
      <c r="I38" s="126"/>
      <c r="J38" s="126"/>
      <c r="K38" s="126"/>
      <c r="L38" s="126"/>
      <c r="M38" s="126"/>
      <c r="N38" s="126"/>
      <c r="O38" s="126"/>
      <c r="P38" s="127"/>
      <c r="Q38" s="128"/>
      <c r="R38" s="128"/>
      <c r="S38" s="128"/>
      <c r="T38" s="128"/>
      <c r="U38" s="128"/>
      <c r="V38" s="128"/>
      <c r="W38" s="128"/>
      <c r="X38" s="128"/>
      <c r="Y38" s="128"/>
      <c r="Z38" s="128"/>
      <c r="AA38" s="128"/>
      <c r="AB38" s="128"/>
      <c r="AC38" s="128"/>
      <c r="AD38" s="128"/>
      <c r="AE38" s="128"/>
      <c r="AF38" s="128"/>
      <c r="AG38" s="128"/>
      <c r="AH38" s="128"/>
      <c r="AI38" s="128"/>
      <c r="AJ38" s="128"/>
      <c r="AK38" s="128"/>
      <c r="AL38" s="128"/>
      <c r="AM38" s="128"/>
    </row>
    <row r="39" spans="2:39">
      <c r="B39" s="122"/>
      <c r="C39" s="123" t="s">
        <v>387</v>
      </c>
      <c r="D39" s="129" t="s">
        <v>388</v>
      </c>
      <c r="E39" s="123"/>
      <c r="F39" s="123"/>
      <c r="G39" s="123"/>
      <c r="H39" s="123"/>
      <c r="I39" s="123"/>
      <c r="J39" s="123"/>
      <c r="K39" s="123"/>
      <c r="L39" s="123"/>
      <c r="M39" s="123"/>
      <c r="N39" s="123"/>
      <c r="O39" s="123"/>
      <c r="P39" s="125"/>
    </row>
    <row r="40" spans="2:39">
      <c r="B40" s="122"/>
      <c r="C40" s="123" t="s">
        <v>389</v>
      </c>
      <c r="D40" s="129" t="s">
        <v>390</v>
      </c>
      <c r="E40" s="123"/>
      <c r="F40" s="123"/>
      <c r="G40" s="123"/>
      <c r="H40" s="123"/>
      <c r="I40" s="123"/>
      <c r="J40" s="123"/>
      <c r="K40" s="123"/>
      <c r="L40" s="123"/>
      <c r="M40" s="123"/>
      <c r="N40" s="123"/>
      <c r="O40" s="123"/>
      <c r="P40" s="125"/>
    </row>
    <row r="41" spans="2:39">
      <c r="B41" s="122"/>
      <c r="C41" s="123" t="s">
        <v>391</v>
      </c>
      <c r="D41" s="129" t="s">
        <v>392</v>
      </c>
      <c r="E41" s="123"/>
      <c r="F41" s="123"/>
      <c r="G41" s="123"/>
      <c r="H41" s="123"/>
      <c r="I41" s="123"/>
      <c r="J41" s="123"/>
      <c r="K41" s="123"/>
      <c r="L41" s="123"/>
      <c r="M41" s="123"/>
      <c r="N41" s="123"/>
      <c r="O41" s="123"/>
      <c r="P41" s="125"/>
    </row>
    <row r="42" spans="2:39">
      <c r="B42" s="130"/>
      <c r="C42" s="131" t="s">
        <v>393</v>
      </c>
      <c r="D42" s="132" t="s">
        <v>394</v>
      </c>
      <c r="E42" s="112"/>
      <c r="F42" s="112"/>
      <c r="G42" s="112"/>
      <c r="H42" s="112"/>
      <c r="I42" s="112"/>
      <c r="J42" s="112"/>
      <c r="K42" s="112"/>
      <c r="L42" s="112"/>
      <c r="M42" s="112"/>
      <c r="N42" s="112"/>
      <c r="O42" s="112"/>
      <c r="P42" s="133"/>
    </row>
    <row r="43" spans="2:39">
      <c r="C43" s="118"/>
      <c r="D43" s="134"/>
    </row>
    <row r="44" spans="2:39">
      <c r="B44" s="506" t="s">
        <v>395</v>
      </c>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7"/>
      <c r="AK44" s="507"/>
      <c r="AL44" s="507"/>
      <c r="AM44" s="508"/>
    </row>
    <row r="45" spans="2:39">
      <c r="B45" s="509"/>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0"/>
      <c r="AG45" s="510"/>
      <c r="AH45" s="510"/>
      <c r="AI45" s="510"/>
      <c r="AJ45" s="510"/>
      <c r="AK45" s="510"/>
      <c r="AL45" s="510"/>
      <c r="AM45" s="511"/>
    </row>
    <row r="46" spans="2:39">
      <c r="B46" s="512"/>
      <c r="C46" s="513"/>
      <c r="D46" s="513"/>
      <c r="E46" s="513"/>
      <c r="F46" s="513"/>
      <c r="G46" s="513"/>
      <c r="H46" s="513"/>
      <c r="I46" s="513"/>
      <c r="J46" s="513"/>
      <c r="K46" s="513"/>
      <c r="L46" s="513"/>
      <c r="M46" s="513"/>
      <c r="N46" s="513"/>
      <c r="O46" s="513"/>
      <c r="P46" s="513"/>
      <c r="Q46" s="513"/>
      <c r="R46" s="513"/>
      <c r="S46" s="513"/>
      <c r="T46" s="513"/>
      <c r="U46" s="513"/>
      <c r="V46" s="513"/>
      <c r="W46" s="513"/>
      <c r="X46" s="513"/>
      <c r="Y46" s="513"/>
      <c r="Z46" s="513"/>
      <c r="AA46" s="513"/>
      <c r="AB46" s="513"/>
      <c r="AC46" s="513"/>
      <c r="AD46" s="513"/>
      <c r="AE46" s="513"/>
      <c r="AF46" s="513"/>
      <c r="AG46" s="513"/>
      <c r="AH46" s="513"/>
      <c r="AI46" s="513"/>
      <c r="AJ46" s="513"/>
      <c r="AK46" s="513"/>
      <c r="AL46" s="513"/>
      <c r="AM46" s="514"/>
    </row>
  </sheetData>
  <sheetProtection formatCells="0" formatColumns="0" formatRows="0" insertColumns="0" insertRows="0" insertHyperlinks="0" sort="0" autoFilter="0" pivotTables="0"/>
  <mergeCells count="3">
    <mergeCell ref="B3:AM3"/>
    <mergeCell ref="B44:AM46"/>
    <mergeCell ref="C1:AM1"/>
  </mergeCells>
  <phoneticPr fontId="7" type="noConversion"/>
  <pageMargins left="0.23622047244094491" right="0.23622047244094491" top="0.53187499999999999" bottom="0.51181102362204722" header="0.27750000000000002" footer="0.31496062992125984"/>
  <pageSetup paperSize="9" scale="74" fitToHeight="0" orientation="landscape" r:id="rId1"/>
  <headerFooter>
    <oddHeader>&amp;C2017. E+ KA202&amp;RVersion: 2017.02.16.. - TKA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tabColor rgb="FF008000"/>
  </sheetPr>
  <dimension ref="A1:F27"/>
  <sheetViews>
    <sheetView zoomScale="120" zoomScaleNormal="120" zoomScalePageLayoutView="120" workbookViewId="0">
      <selection activeCell="A11" sqref="A11"/>
    </sheetView>
  </sheetViews>
  <sheetFormatPr defaultColWidth="11.42578125" defaultRowHeight="12.75"/>
  <cols>
    <col min="1" max="1" width="18.85546875" style="8" customWidth="1"/>
    <col min="2" max="2" width="14.85546875" style="16" customWidth="1"/>
    <col min="3" max="3" width="7.85546875" style="7" bestFit="1" customWidth="1"/>
    <col min="4" max="4" width="8.85546875" style="7" customWidth="1"/>
    <col min="5" max="5" width="11.7109375" style="3" bestFit="1" customWidth="1"/>
    <col min="6" max="6" width="22.85546875" style="3" bestFit="1" customWidth="1"/>
    <col min="7" max="16384" width="11.42578125" style="3"/>
  </cols>
  <sheetData>
    <row r="1" spans="1:6" ht="15.75">
      <c r="A1" s="145" t="s">
        <v>89</v>
      </c>
      <c r="B1" s="146"/>
      <c r="C1" s="147"/>
      <c r="D1" s="147"/>
      <c r="E1" s="148"/>
    </row>
    <row r="2" spans="1:6" ht="15.75">
      <c r="A2" s="149" t="s">
        <v>0</v>
      </c>
      <c r="B2" s="150"/>
      <c r="C2" s="148"/>
      <c r="D2" s="148"/>
      <c r="E2" s="148"/>
    </row>
    <row r="3" spans="1:6" ht="13.5" thickBot="1">
      <c r="A3" s="151"/>
      <c r="B3" s="152"/>
      <c r="C3" s="148"/>
      <c r="D3" s="148"/>
      <c r="E3" s="148"/>
    </row>
    <row r="4" spans="1:6" ht="39" thickBot="1">
      <c r="A4" s="153" t="s">
        <v>483</v>
      </c>
      <c r="B4" s="154" t="s">
        <v>32</v>
      </c>
      <c r="C4" s="155" t="s">
        <v>97</v>
      </c>
      <c r="D4" s="240" t="s">
        <v>98</v>
      </c>
      <c r="E4" s="245" t="s">
        <v>99</v>
      </c>
    </row>
    <row r="5" spans="1:6" s="12" customFormat="1" ht="13.5" thickBot="1">
      <c r="A5" s="239"/>
      <c r="B5" s="9"/>
      <c r="C5" s="10"/>
      <c r="D5" s="241" t="s">
        <v>319</v>
      </c>
      <c r="E5" s="246">
        <f>SUM(E11:E20)</f>
        <v>0</v>
      </c>
      <c r="F5" s="11" t="str">
        <f>IF(E5&gt;2750*Overview!C7,"Maximum 2750 EUR per month!","")</f>
        <v/>
      </c>
    </row>
    <row r="6" spans="1:6" s="12" customFormat="1" hidden="1">
      <c r="A6" s="104"/>
      <c r="B6" s="336"/>
      <c r="C6" s="336"/>
      <c r="D6" s="337"/>
      <c r="E6" s="338"/>
    </row>
    <row r="7" spans="1:6" s="12" customFormat="1" hidden="1">
      <c r="A7" s="104"/>
      <c r="B7" s="336" t="str">
        <f t="array" ref="B7:B10">EUint</f>
        <v>Belgium</v>
      </c>
      <c r="C7" s="336"/>
      <c r="D7" s="337"/>
      <c r="E7" s="338"/>
    </row>
    <row r="8" spans="1:6" s="12" customFormat="1" hidden="1">
      <c r="A8" s="104"/>
      <c r="B8" s="336" t="str">
        <v>Franciaország</v>
      </c>
      <c r="C8" s="336"/>
      <c r="D8" s="337"/>
      <c r="E8" s="338"/>
    </row>
    <row r="9" spans="1:6" s="12" customFormat="1" hidden="1">
      <c r="A9" s="104" t="s">
        <v>465</v>
      </c>
      <c r="B9" s="336" t="str">
        <v>Luxemburg</v>
      </c>
      <c r="C9" s="336"/>
      <c r="D9" s="337"/>
      <c r="E9" s="338"/>
    </row>
    <row r="10" spans="1:6" s="12" customFormat="1" hidden="1">
      <c r="A10" s="104"/>
      <c r="B10" s="336" t="str">
        <v>Németország</v>
      </c>
      <c r="C10" s="336"/>
      <c r="D10" s="337"/>
      <c r="E10" s="338"/>
    </row>
    <row r="11" spans="1:6" s="12" customFormat="1">
      <c r="A11" s="104"/>
      <c r="B11" s="336" t="s">
        <v>65</v>
      </c>
      <c r="C11" s="336" t="str">
        <f>IF(OR(ISBLANK(A11),ISBLANK(B11)),"",Overview!$C$7)</f>
        <v/>
      </c>
      <c r="D11" s="337" t="str">
        <f>IF(OR(ISBLANK(A11),ISBLANK(B11)),"",500)</f>
        <v/>
      </c>
      <c r="E11" s="218" t="str">
        <f>IF(ISBLANK(A11),"",IF(ISBLANK(B11),"Missing data",C11*D11))</f>
        <v/>
      </c>
      <c r="F11" s="12" t="s">
        <v>325</v>
      </c>
    </row>
    <row r="12" spans="1:6" s="12" customFormat="1">
      <c r="A12" s="104"/>
      <c r="B12" s="13"/>
      <c r="C12" s="17" t="str">
        <f>IF(OR(ISBLANK(A12),ISBLANK(B12)),"",Overview!$C$7)</f>
        <v/>
      </c>
      <c r="D12" s="242" t="str">
        <f>IF(OR(ISBLANK(A12),ISBLANK(B12)),"",250)</f>
        <v/>
      </c>
      <c r="E12" s="218" t="str">
        <f>IF(ISBLANK(A12),"",IF(ISBLANK(B12),"Missing data",C12*D12))</f>
        <v/>
      </c>
    </row>
    <row r="13" spans="1:6" s="12" customFormat="1">
      <c r="A13" s="104"/>
      <c r="B13" s="13"/>
      <c r="C13" s="17" t="str">
        <f>IF(OR(ISBLANK(A13),ISBLANK(B13)),"",Overview!$C$7)</f>
        <v/>
      </c>
      <c r="D13" s="242" t="str">
        <f t="shared" ref="D13:D20" si="0">IF(OR(ISBLANK(A13),ISBLANK(B13)),"",250)</f>
        <v/>
      </c>
      <c r="E13" s="218" t="str">
        <f t="shared" ref="E13:E20" si="1">IF(ISBLANK(A13),"",IF(ISBLANK(B13),"Missing data",C13*D13))</f>
        <v/>
      </c>
    </row>
    <row r="14" spans="1:6" s="12" customFormat="1">
      <c r="A14" s="5"/>
      <c r="B14" s="13"/>
      <c r="C14" s="17" t="str">
        <f>IF(OR(ISBLANK(A14),ISBLANK(B14)),"",Overview!$C$7)</f>
        <v/>
      </c>
      <c r="D14" s="242" t="str">
        <f t="shared" si="0"/>
        <v/>
      </c>
      <c r="E14" s="218" t="str">
        <f t="shared" si="1"/>
        <v/>
      </c>
    </row>
    <row r="15" spans="1:6" s="12" customFormat="1">
      <c r="A15" s="5"/>
      <c r="B15" s="13"/>
      <c r="C15" s="17" t="str">
        <f>IF(OR(ISBLANK(A15),ISBLANK(B15)),"",Overview!$C$7)</f>
        <v/>
      </c>
      <c r="D15" s="242" t="str">
        <f t="shared" si="0"/>
        <v/>
      </c>
      <c r="E15" s="218" t="str">
        <f t="shared" si="1"/>
        <v/>
      </c>
    </row>
    <row r="16" spans="1:6" s="12" customFormat="1">
      <c r="A16" s="5"/>
      <c r="B16" s="13"/>
      <c r="C16" s="17" t="str">
        <f>IF(OR(ISBLANK(A16),ISBLANK(B16)),"",Overview!$C$7)</f>
        <v/>
      </c>
      <c r="D16" s="242" t="str">
        <f t="shared" si="0"/>
        <v/>
      </c>
      <c r="E16" s="218" t="str">
        <f t="shared" si="1"/>
        <v/>
      </c>
    </row>
    <row r="17" spans="1:5" s="12" customFormat="1">
      <c r="A17" s="5"/>
      <c r="B17" s="13"/>
      <c r="C17" s="17" t="str">
        <f>IF(OR(ISBLANK(A17),ISBLANK(B17)),"",Overview!$C$7)</f>
        <v/>
      </c>
      <c r="D17" s="242" t="str">
        <f t="shared" si="0"/>
        <v/>
      </c>
      <c r="E17" s="218" t="str">
        <f t="shared" si="1"/>
        <v/>
      </c>
    </row>
    <row r="18" spans="1:5" s="12" customFormat="1">
      <c r="A18" s="5"/>
      <c r="B18" s="13"/>
      <c r="C18" s="17" t="str">
        <f>IF(OR(ISBLANK(A18),ISBLANK(B18)),"",Overview!$C$7)</f>
        <v/>
      </c>
      <c r="D18" s="242" t="str">
        <f t="shared" si="0"/>
        <v/>
      </c>
      <c r="E18" s="218" t="str">
        <f t="shared" si="1"/>
        <v/>
      </c>
    </row>
    <row r="19" spans="1:5" s="12" customFormat="1">
      <c r="A19" s="5"/>
      <c r="B19" s="13"/>
      <c r="C19" s="17" t="str">
        <f>IF(OR(ISBLANK(A19),ISBLANK(B19)),"",Overview!$C$7)</f>
        <v/>
      </c>
      <c r="D19" s="242" t="str">
        <f t="shared" si="0"/>
        <v/>
      </c>
      <c r="E19" s="218" t="str">
        <f t="shared" si="1"/>
        <v/>
      </c>
    </row>
    <row r="20" spans="1:5" s="12" customFormat="1">
      <c r="A20" s="5"/>
      <c r="B20" s="13"/>
      <c r="C20" s="17" t="str">
        <f>IF(OR(ISBLANK(A20),ISBLANK(B20)),"",Overview!$C$7)</f>
        <v/>
      </c>
      <c r="D20" s="242" t="str">
        <f t="shared" si="0"/>
        <v/>
      </c>
      <c r="E20" s="218" t="str">
        <f t="shared" si="1"/>
        <v/>
      </c>
    </row>
    <row r="21" spans="1:5" s="12" customFormat="1">
      <c r="A21" s="5"/>
      <c r="B21" s="13"/>
      <c r="C21" s="17" t="str">
        <f>IF(OR(ISBLANK(A21),ISBLANK(B21)),"",Overview!$C$7)</f>
        <v/>
      </c>
      <c r="D21" s="243"/>
      <c r="E21" s="247" t="str">
        <f>""</f>
        <v/>
      </c>
    </row>
    <row r="22" spans="1:5" s="12" customFormat="1">
      <c r="A22" s="5"/>
      <c r="B22" s="13"/>
      <c r="C22" s="17" t="str">
        <f>IF(OR(ISBLANK(A22),ISBLANK(B22)),"",Overview!$C$7)</f>
        <v/>
      </c>
      <c r="D22" s="243"/>
      <c r="E22" s="247" t="str">
        <f>""</f>
        <v/>
      </c>
    </row>
    <row r="23" spans="1:5" s="12" customFormat="1">
      <c r="A23" s="5"/>
      <c r="B23" s="13"/>
      <c r="C23" s="17" t="str">
        <f>IF(OR(ISBLANK(A23),ISBLANK(B23)),"",Overview!$C$7)</f>
        <v/>
      </c>
      <c r="D23" s="243"/>
      <c r="E23" s="247" t="str">
        <f>""</f>
        <v/>
      </c>
    </row>
    <row r="24" spans="1:5" s="12" customFormat="1">
      <c r="A24" s="5"/>
      <c r="B24" s="13"/>
      <c r="C24" s="17" t="str">
        <f>IF(OR(ISBLANK(A24),ISBLANK(B24)),"",Overview!$C$7)</f>
        <v/>
      </c>
      <c r="D24" s="243"/>
      <c r="E24" s="247" t="str">
        <f>""</f>
        <v/>
      </c>
    </row>
    <row r="25" spans="1:5" s="12" customFormat="1" ht="13.5" thickBot="1">
      <c r="A25" s="6"/>
      <c r="B25" s="14"/>
      <c r="C25" s="18" t="str">
        <f>IF(OR(ISBLANK(A25),ISBLANK(B25)),"",Overview!$C$7)</f>
        <v/>
      </c>
      <c r="D25" s="244"/>
      <c r="E25" s="248" t="str">
        <f>""</f>
        <v/>
      </c>
    </row>
    <row r="27" spans="1:5">
      <c r="A27" s="15"/>
    </row>
  </sheetData>
  <sheetProtection password="CBC2" sheet="1" objects="1" scenarios="1" formatColumns="0"/>
  <phoneticPr fontId="7" type="noConversion"/>
  <conditionalFormatting sqref="E5">
    <cfRule type="expression" dxfId="20" priority="22" stopIfTrue="1">
      <formula>F5&lt;&gt;""</formula>
    </cfRule>
  </conditionalFormatting>
  <dataValidations disablePrompts="1" count="1">
    <dataValidation type="list" allowBlank="1" showInputMessage="1" showErrorMessage="1" sqref="B12:B25">
      <formula1>Countries</formula1>
    </dataValidation>
  </dataValidations>
  <pageMargins left="0.74803149606299213" right="0.74803149606299213" top="0.98425196850393704" bottom="0.98425196850393704" header="0.51181102362204722" footer="0.51181102362204722"/>
  <pageSetup paperSize="9" scale="106" orientation="portrait" r:id="rId1"/>
  <headerFooter>
    <oddHeader>&amp;C&amp;11 2017. E+ KA202&amp;RVersion: 2017.02.16. - TKA</oddHeader>
    <oddFooter>&amp;C&amp;"Arial,Félkövér"&amp;A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3">
    <tabColor rgb="FF008000"/>
    <pageSetUpPr fitToPage="1"/>
  </sheetPr>
  <dimension ref="A1:K110"/>
  <sheetViews>
    <sheetView zoomScaleNormal="100" workbookViewId="0">
      <selection activeCell="J15" sqref="J15"/>
    </sheetView>
  </sheetViews>
  <sheetFormatPr defaultColWidth="11.42578125" defaultRowHeight="12.75"/>
  <cols>
    <col min="1" max="1" width="17.140625" style="44" customWidth="1"/>
    <col min="2" max="2" width="15.140625" style="39" customWidth="1"/>
    <col min="3" max="3" width="7" style="40" bestFit="1" customWidth="1"/>
    <col min="4" max="4" width="27.7109375" style="39" customWidth="1"/>
    <col min="5" max="5" width="12.85546875" style="44" customWidth="1"/>
    <col min="6" max="6" width="19.42578125" style="39" customWidth="1"/>
    <col min="7" max="7" width="14.42578125" style="41" customWidth="1"/>
    <col min="8" max="8" width="10.42578125" style="42" bestFit="1" customWidth="1"/>
    <col min="9" max="9" width="18" style="43" customWidth="1"/>
    <col min="10" max="10" width="11.7109375" style="220" customWidth="1"/>
    <col min="11" max="11" width="24.85546875" style="12" bestFit="1" customWidth="1"/>
    <col min="12" max="12" width="27.7109375" style="12" customWidth="1"/>
    <col min="13" max="16384" width="11.42578125" style="12"/>
  </cols>
  <sheetData>
    <row r="1" spans="1:11" s="3" customFormat="1" ht="15.75" customHeight="1">
      <c r="A1" s="145" t="s">
        <v>116</v>
      </c>
      <c r="B1" s="150"/>
      <c r="C1" s="156"/>
      <c r="D1" s="150"/>
      <c r="E1" s="150"/>
      <c r="F1" s="210" t="s">
        <v>148</v>
      </c>
      <c r="G1" s="212"/>
      <c r="H1" s="214"/>
      <c r="I1" s="271" t="s">
        <v>424</v>
      </c>
    </row>
    <row r="2" spans="1:11" s="3" customFormat="1" ht="13.5" customHeight="1" thickBot="1">
      <c r="A2" s="149" t="s">
        <v>0</v>
      </c>
      <c r="B2" s="152"/>
      <c r="C2" s="157"/>
      <c r="D2" s="152"/>
      <c r="E2" s="152"/>
      <c r="F2" s="211" t="s">
        <v>117</v>
      </c>
      <c r="G2" s="213"/>
      <c r="H2" s="215"/>
      <c r="I2" s="272" t="s">
        <v>425</v>
      </c>
    </row>
    <row r="3" spans="1:11" s="3" customFormat="1" ht="14.25" thickBot="1">
      <c r="A3" s="158" t="s">
        <v>1</v>
      </c>
      <c r="B3" s="159"/>
      <c r="C3" s="160"/>
      <c r="D3" s="159"/>
      <c r="E3" s="158" t="s">
        <v>1</v>
      </c>
      <c r="F3" s="159"/>
      <c r="G3" s="161"/>
      <c r="H3" s="162"/>
      <c r="I3" s="163"/>
      <c r="J3" s="216"/>
    </row>
    <row r="4" spans="1:11" s="3" customFormat="1" ht="12.95" customHeight="1" thickBot="1">
      <c r="A4" s="518" t="s">
        <v>483</v>
      </c>
      <c r="B4" s="520" t="s">
        <v>32</v>
      </c>
      <c r="C4" s="520" t="s">
        <v>323</v>
      </c>
      <c r="D4" s="520" t="s">
        <v>119</v>
      </c>
      <c r="E4" s="522" t="s">
        <v>406</v>
      </c>
      <c r="F4" s="523"/>
      <c r="G4" s="528" t="s">
        <v>410</v>
      </c>
      <c r="H4" s="526" t="s">
        <v>145</v>
      </c>
      <c r="I4" s="520" t="s">
        <v>120</v>
      </c>
      <c r="J4" s="524" t="s">
        <v>121</v>
      </c>
    </row>
    <row r="5" spans="1:11" s="3" customFormat="1" ht="13.5" thickBot="1">
      <c r="A5" s="519"/>
      <c r="B5" s="521"/>
      <c r="C5" s="521"/>
      <c r="D5" s="521"/>
      <c r="E5" s="164" t="s">
        <v>483</v>
      </c>
      <c r="F5" s="165" t="s">
        <v>32</v>
      </c>
      <c r="G5" s="529"/>
      <c r="H5" s="527"/>
      <c r="I5" s="521"/>
      <c r="J5" s="525"/>
    </row>
    <row r="6" spans="1:11" s="3" customFormat="1" ht="13.5" thickBot="1">
      <c r="A6" s="166"/>
      <c r="B6" s="167"/>
      <c r="C6" s="167"/>
      <c r="D6" s="167"/>
      <c r="E6" s="166"/>
      <c r="F6" s="167"/>
      <c r="G6" s="168"/>
      <c r="H6" s="169"/>
      <c r="I6" s="171" t="s">
        <v>316</v>
      </c>
      <c r="J6" s="246">
        <f>SUM(J7:J108)</f>
        <v>0</v>
      </c>
    </row>
    <row r="7" spans="1:11">
      <c r="A7" s="29"/>
      <c r="B7" s="30" t="str">
        <f>IF(ISBLANK(A7),"",VLOOKUP(A7,Management!$A$11:$C$25,2,0))</f>
        <v/>
      </c>
      <c r="C7" s="105"/>
      <c r="D7" s="106"/>
      <c r="E7" s="29"/>
      <c r="F7" s="34" t="str">
        <f>IF(OR(ISBLANK(E7),E7="Other"),"",VLOOKUP(E7,Management!$A$11:$B$25,2,0))</f>
        <v/>
      </c>
      <c r="G7" s="107"/>
      <c r="H7" s="20"/>
      <c r="I7" s="31"/>
      <c r="J7" s="217" t="str">
        <f>IF(ISBLANK(A7),"",IF(OR(ISBLANK(C7),ISBLANK(D7),ISBLANK(G7),ISBLANK(H7),ISBLANK(I7)),"Missing data",H7*VLOOKUP(I7,Ceilings!$J$4:$K$5,2,0)))</f>
        <v/>
      </c>
      <c r="K7" s="3"/>
    </row>
    <row r="8" spans="1:11">
      <c r="A8" s="32"/>
      <c r="B8" s="33" t="str">
        <f>IF(ISBLANK(A8),"",VLOOKUP(A8,Management!$A$11:$C$25,2,0))</f>
        <v/>
      </c>
      <c r="C8" s="21"/>
      <c r="D8" s="22"/>
      <c r="E8" s="32"/>
      <c r="F8" s="34" t="str">
        <f>IF(OR(ISBLANK(E8),E8="Other"),"",VLOOKUP(E8,Management!$A$11:$B$25,2,0))</f>
        <v/>
      </c>
      <c r="G8" s="108"/>
      <c r="H8" s="23"/>
      <c r="I8" s="34"/>
      <c r="J8" s="218" t="str">
        <f>IF(ISBLANK(A8),"",IF(OR(ISBLANK(C8),ISBLANK(D8),ISBLANK(G8),ISBLANK(H8),ISBLANK(I8)),"Missing data",H8*VLOOKUP(I8,Ceilings!$J$4:$K$5,2,0)))</f>
        <v/>
      </c>
    </row>
    <row r="9" spans="1:11">
      <c r="A9" s="32"/>
      <c r="B9" s="33" t="str">
        <f>IF(ISBLANK(A9),"",VLOOKUP(A9,Management!$A$11:$C$25,2,0))</f>
        <v/>
      </c>
      <c r="C9" s="21"/>
      <c r="D9" s="22"/>
      <c r="E9" s="32"/>
      <c r="F9" s="34" t="str">
        <f>IF(OR(ISBLANK(E9),E9="Other"),"",VLOOKUP(E9,Management!$A$11:$B$25,2,0))</f>
        <v/>
      </c>
      <c r="G9" s="108"/>
      <c r="H9" s="23"/>
      <c r="I9" s="34"/>
      <c r="J9" s="218" t="str">
        <f>IF(ISBLANK(A9),"",IF(OR(ISBLANK(C9),ISBLANK(D9),ISBLANK(G9),ISBLANK(H9),ISBLANK(I9)),"Missing data",H9*VLOOKUP(I9,Ceilings!$J$4:$K$5,2,0)))</f>
        <v/>
      </c>
    </row>
    <row r="10" spans="1:11">
      <c r="A10" s="32"/>
      <c r="B10" s="33" t="str">
        <f>IF(ISBLANK(A10),"",VLOOKUP(A10,Management!$A$11:$C$25,2,0))</f>
        <v/>
      </c>
      <c r="C10" s="21"/>
      <c r="D10" s="22"/>
      <c r="E10" s="32"/>
      <c r="F10" s="34" t="str">
        <f>IF(OR(ISBLANK(E10),E10="Other"),"",VLOOKUP(E10,Management!$A$11:$B$25,2,0))</f>
        <v/>
      </c>
      <c r="G10" s="108"/>
      <c r="H10" s="23"/>
      <c r="I10" s="34"/>
      <c r="J10" s="218" t="str">
        <f>IF(ISBLANK(A10),"",IF(OR(ISBLANK(C10),ISBLANK(D10),ISBLANK(G10),ISBLANK(H10),ISBLANK(I10)),"Missing data",H10*VLOOKUP(I10,Ceilings!$J$4:$K$5,2,0)))</f>
        <v/>
      </c>
    </row>
    <row r="11" spans="1:11">
      <c r="A11" s="32"/>
      <c r="B11" s="33" t="str">
        <f>IF(ISBLANK(A11),"",VLOOKUP(A11,Management!$A$11:$C$25,2,0))</f>
        <v/>
      </c>
      <c r="C11" s="21"/>
      <c r="D11" s="22"/>
      <c r="E11" s="32"/>
      <c r="F11" s="34" t="str">
        <f>IF(OR(ISBLANK(E11),E11="Other"),"",VLOOKUP(E11,Management!$A$11:$B$25,2,0))</f>
        <v/>
      </c>
      <c r="G11" s="108"/>
      <c r="H11" s="23"/>
      <c r="I11" s="34"/>
      <c r="J11" s="218" t="str">
        <f>IF(ISBLANK(A11),"",IF(OR(ISBLANK(C11),ISBLANK(D11),ISBLANK(G11),ISBLANK(H11),ISBLANK(I11)),"Missing data",H11*VLOOKUP(I11,Ceilings!$J$4:$K$5,2,0)))</f>
        <v/>
      </c>
    </row>
    <row r="12" spans="1:11">
      <c r="A12" s="32"/>
      <c r="B12" s="33" t="str">
        <f>IF(ISBLANK(A12),"",VLOOKUP(A12,Management!$A$11:$C$25,2,0))</f>
        <v/>
      </c>
      <c r="C12" s="21"/>
      <c r="D12" s="22"/>
      <c r="E12" s="32"/>
      <c r="F12" s="34" t="str">
        <f>IF(OR(ISBLANK(E12),E12="Other"),"",VLOOKUP(E12,Management!$A$11:$B$25,2,0))</f>
        <v/>
      </c>
      <c r="G12" s="108"/>
      <c r="H12" s="23"/>
      <c r="I12" s="34"/>
      <c r="J12" s="218" t="str">
        <f>IF(ISBLANK(A12),"",IF(OR(ISBLANK(C12),ISBLANK(D12),ISBLANK(G12),ISBLANK(H12),ISBLANK(I12)),"Missing data",H12*VLOOKUP(I12,Ceilings!$J$4:$K$5,2,0)))</f>
        <v/>
      </c>
    </row>
    <row r="13" spans="1:11">
      <c r="A13" s="32"/>
      <c r="B13" s="33" t="str">
        <f>IF(ISBLANK(A13),"",VLOOKUP(A13,Management!$A$11:$C$25,2,0))</f>
        <v/>
      </c>
      <c r="C13" s="21"/>
      <c r="D13" s="22"/>
      <c r="E13" s="32"/>
      <c r="F13" s="34" t="str">
        <f>IF(OR(ISBLANK(E13),E13="Other"),"",VLOOKUP(E13,Management!$A$11:$B$25,2,0))</f>
        <v/>
      </c>
      <c r="G13" s="108"/>
      <c r="H13" s="23"/>
      <c r="I13" s="34"/>
      <c r="J13" s="218" t="str">
        <f>IF(ISBLANK(A13),"",IF(OR(ISBLANK(C13),ISBLANK(D13),ISBLANK(G13),ISBLANK(H13),ISBLANK(I13)),"Missing data",H13*VLOOKUP(I13,Ceilings!$J$4:$K$5,2,0)))</f>
        <v/>
      </c>
    </row>
    <row r="14" spans="1:11">
      <c r="A14" s="32"/>
      <c r="B14" s="33" t="str">
        <f>IF(ISBLANK(A14),"",VLOOKUP(A14,Management!$A$11:$C$25,2,0))</f>
        <v/>
      </c>
      <c r="C14" s="21"/>
      <c r="D14" s="22"/>
      <c r="E14" s="32"/>
      <c r="F14" s="34" t="str">
        <f>IF(OR(ISBLANK(E14),E14="Other"),"",VLOOKUP(E14,Management!$A$11:$B$25,2,0))</f>
        <v/>
      </c>
      <c r="G14" s="108"/>
      <c r="H14" s="23"/>
      <c r="I14" s="34"/>
      <c r="J14" s="218" t="str">
        <f>IF(ISBLANK(A14),"",IF(OR(ISBLANK(C14),ISBLANK(D14),ISBLANK(G14),ISBLANK(H14),ISBLANK(I14)),"Missing data",H14*VLOOKUP(I14,Ceilings!$J$4:$K$5,2,0)))</f>
        <v/>
      </c>
    </row>
    <row r="15" spans="1:11">
      <c r="A15" s="32"/>
      <c r="B15" s="33" t="str">
        <f>IF(ISBLANK(A15),"",VLOOKUP(A15,Management!$A$11:$C$25,2,0))</f>
        <v/>
      </c>
      <c r="C15" s="21"/>
      <c r="D15" s="24"/>
      <c r="E15" s="32"/>
      <c r="F15" s="34" t="str">
        <f>IF(OR(ISBLANK(E15),E15="Other"),"",VLOOKUP(E15,Management!$A$11:$B$25,2,0))</f>
        <v/>
      </c>
      <c r="G15" s="108"/>
      <c r="H15" s="23"/>
      <c r="I15" s="34"/>
      <c r="J15" s="218" t="str">
        <f>IF(ISBLANK(A15),"",IF(OR(ISBLANK(C15),ISBLANK(D15),ISBLANK(G15),ISBLANK(H15),ISBLANK(I15)),"Missing data",H15*VLOOKUP(I15,Ceilings!$J$4:$K$5,2,0)))</f>
        <v/>
      </c>
    </row>
    <row r="16" spans="1:11">
      <c r="A16" s="32"/>
      <c r="B16" s="33" t="str">
        <f>IF(ISBLANK(A16),"",VLOOKUP(A16,Management!$A$11:$C$25,2,0))</f>
        <v/>
      </c>
      <c r="C16" s="21"/>
      <c r="D16" s="22"/>
      <c r="E16" s="32"/>
      <c r="F16" s="34" t="str">
        <f>IF(OR(ISBLANK(E16),E16="Other"),"",VLOOKUP(E16,Management!$A$11:$B$25,2,0))</f>
        <v/>
      </c>
      <c r="G16" s="108"/>
      <c r="H16" s="23"/>
      <c r="I16" s="34"/>
      <c r="J16" s="218" t="str">
        <f>IF(ISBLANK(A16),"",IF(OR(ISBLANK(C16),ISBLANK(D16),ISBLANK(G16),ISBLANK(H16),ISBLANK(I16)),"Missing data",H16*VLOOKUP(I16,Ceilings!$J$4:$K$5,2,0)))</f>
        <v/>
      </c>
    </row>
    <row r="17" spans="1:10">
      <c r="A17" s="32"/>
      <c r="B17" s="33" t="str">
        <f>IF(ISBLANK(A17),"",VLOOKUP(A17,Management!$A$11:$C$25,2,0))</f>
        <v/>
      </c>
      <c r="C17" s="21"/>
      <c r="D17" s="22"/>
      <c r="E17" s="32"/>
      <c r="F17" s="34" t="str">
        <f>IF(OR(ISBLANK(E17),E17="Other"),"",VLOOKUP(E17,Management!$A$11:$B$25,2,0))</f>
        <v/>
      </c>
      <c r="G17" s="108"/>
      <c r="H17" s="23"/>
      <c r="I17" s="34"/>
      <c r="J17" s="218" t="str">
        <f>IF(ISBLANK(A17),"",IF(OR(ISBLANK(C17),ISBLANK(D17),ISBLANK(G17),ISBLANK(H17),ISBLANK(I17)),"Missing data",H17*VLOOKUP(I17,Ceilings!$J$4:$K$5,2,0)))</f>
        <v/>
      </c>
    </row>
    <row r="18" spans="1:10">
      <c r="A18" s="32"/>
      <c r="B18" s="33" t="str">
        <f>IF(ISBLANK(A18),"",VLOOKUP(A18,Management!$A$11:$C$25,2,0))</f>
        <v/>
      </c>
      <c r="C18" s="21"/>
      <c r="D18" s="22"/>
      <c r="E18" s="32"/>
      <c r="F18" s="34" t="str">
        <f>IF(OR(ISBLANK(E18),E18="Other"),"",VLOOKUP(E18,Management!$A$11:$B$25,2,0))</f>
        <v/>
      </c>
      <c r="G18" s="108"/>
      <c r="H18" s="23"/>
      <c r="I18" s="34"/>
      <c r="J18" s="218" t="str">
        <f>IF(ISBLANK(A18),"",IF(OR(ISBLANK(C18),ISBLANK(D18),ISBLANK(G18),ISBLANK(H18),ISBLANK(I18)),"Missing data",H18*VLOOKUP(I18,Ceilings!$J$4:$K$5,2,0)))</f>
        <v/>
      </c>
    </row>
    <row r="19" spans="1:10">
      <c r="A19" s="32"/>
      <c r="B19" s="33" t="str">
        <f>IF(ISBLANK(A19),"",VLOOKUP(A19,Management!$A$11:$C$25,2,0))</f>
        <v/>
      </c>
      <c r="C19" s="21"/>
      <c r="D19" s="22"/>
      <c r="E19" s="32"/>
      <c r="F19" s="34" t="str">
        <f>IF(OR(ISBLANK(E19),E19="Other"),"",VLOOKUP(E19,Management!$A$11:$B$25,2,0))</f>
        <v/>
      </c>
      <c r="G19" s="108"/>
      <c r="H19" s="23"/>
      <c r="I19" s="34"/>
      <c r="J19" s="218" t="str">
        <f>IF(ISBLANK(A19),"",IF(OR(ISBLANK(C19),ISBLANK(D19),ISBLANK(G19),ISBLANK(H19),ISBLANK(I19)),"Missing data",H19*VLOOKUP(I19,Ceilings!$J$4:$K$5,2,0)))</f>
        <v/>
      </c>
    </row>
    <row r="20" spans="1:10">
      <c r="A20" s="32"/>
      <c r="B20" s="33" t="str">
        <f>IF(ISBLANK(A20),"",VLOOKUP(A20,Management!$A$11:$C$25,2,0))</f>
        <v/>
      </c>
      <c r="C20" s="21"/>
      <c r="D20" s="22"/>
      <c r="E20" s="32"/>
      <c r="F20" s="34" t="str">
        <f>IF(OR(ISBLANK(E20),E20="Other"),"",VLOOKUP(E20,Management!$A$11:$B$25,2,0))</f>
        <v/>
      </c>
      <c r="G20" s="108"/>
      <c r="H20" s="23"/>
      <c r="I20" s="34"/>
      <c r="J20" s="218" t="str">
        <f>IF(ISBLANK(A20),"",IF(OR(ISBLANK(C20),ISBLANK(D20),ISBLANK(G20),ISBLANK(H20),ISBLANK(I20)),"Missing data",H20*VLOOKUP(I20,Ceilings!$J$4:$K$5,2,0)))</f>
        <v/>
      </c>
    </row>
    <row r="21" spans="1:10">
      <c r="A21" s="32"/>
      <c r="B21" s="33" t="str">
        <f>IF(ISBLANK(A21),"",VLOOKUP(A21,Management!$A$11:$C$25,2,0))</f>
        <v/>
      </c>
      <c r="C21" s="21"/>
      <c r="D21" s="22"/>
      <c r="E21" s="32"/>
      <c r="F21" s="34" t="str">
        <f>IF(OR(ISBLANK(E21),E21="Other"),"",VLOOKUP(E21,Management!$A$11:$B$25,2,0))</f>
        <v/>
      </c>
      <c r="G21" s="108"/>
      <c r="H21" s="23"/>
      <c r="I21" s="34"/>
      <c r="J21" s="218" t="str">
        <f>IF(ISBLANK(A21),"",IF(OR(ISBLANK(C21),ISBLANK(D21),ISBLANK(G21),ISBLANK(H21),ISBLANK(I21)),"Missing data",H21*VLOOKUP(I21,Ceilings!$J$4:$K$5,2,0)))</f>
        <v/>
      </c>
    </row>
    <row r="22" spans="1:10">
      <c r="A22" s="32"/>
      <c r="B22" s="33" t="str">
        <f>IF(ISBLANK(A22),"",VLOOKUP(A22,Management!$A$11:$C$25,2,0))</f>
        <v/>
      </c>
      <c r="C22" s="21"/>
      <c r="D22" s="22"/>
      <c r="E22" s="32"/>
      <c r="F22" s="34" t="str">
        <f>IF(OR(ISBLANK(E22),E22="Other"),"",VLOOKUP(E22,Management!$A$11:$B$25,2,0))</f>
        <v/>
      </c>
      <c r="G22" s="108"/>
      <c r="H22" s="23"/>
      <c r="I22" s="34"/>
      <c r="J22" s="218" t="str">
        <f>IF(ISBLANK(A22),"",IF(OR(ISBLANK(C22),ISBLANK(D22),ISBLANK(G22),ISBLANK(H22),ISBLANK(I22)),"Missing data",H22*VLOOKUP(I22,Ceilings!$J$4:$K$5,2,0)))</f>
        <v/>
      </c>
    </row>
    <row r="23" spans="1:10">
      <c r="A23" s="32"/>
      <c r="B23" s="33" t="str">
        <f>IF(ISBLANK(A23),"",VLOOKUP(A23,Management!$A$11:$C$25,2,0))</f>
        <v/>
      </c>
      <c r="C23" s="21"/>
      <c r="D23" s="22"/>
      <c r="E23" s="32"/>
      <c r="F23" s="34" t="str">
        <f>IF(OR(ISBLANK(E23),E23="Other"),"",VLOOKUP(E23,Management!$A$11:$B$25,2,0))</f>
        <v/>
      </c>
      <c r="G23" s="108"/>
      <c r="H23" s="23"/>
      <c r="I23" s="34"/>
      <c r="J23" s="218" t="str">
        <f>IF(ISBLANK(A23),"",IF(OR(ISBLANK(C23),ISBLANK(D23),ISBLANK(G23),ISBLANK(H23),ISBLANK(I23)),"Missing data",H23*VLOOKUP(I23,Ceilings!$J$4:$K$5,2,0)))</f>
        <v/>
      </c>
    </row>
    <row r="24" spans="1:10">
      <c r="A24" s="32"/>
      <c r="B24" s="33" t="str">
        <f>IF(ISBLANK(A24),"",VLOOKUP(A24,Management!$A$11:$C$25,2,0))</f>
        <v/>
      </c>
      <c r="C24" s="21"/>
      <c r="D24" s="22"/>
      <c r="E24" s="32"/>
      <c r="F24" s="34" t="str">
        <f>IF(OR(ISBLANK(E24),E24="Other"),"",VLOOKUP(E24,Management!$A$11:$B$25,2,0))</f>
        <v/>
      </c>
      <c r="G24" s="108"/>
      <c r="H24" s="23"/>
      <c r="I24" s="34"/>
      <c r="J24" s="218" t="str">
        <f>IF(ISBLANK(A24),"",IF(OR(ISBLANK(C24),ISBLANK(D24),ISBLANK(G24),ISBLANK(H24),ISBLANK(I24)),"Missing data",H24*VLOOKUP(I24,Ceilings!$J$4:$K$5,2,0)))</f>
        <v/>
      </c>
    </row>
    <row r="25" spans="1:10">
      <c r="A25" s="32"/>
      <c r="B25" s="33" t="str">
        <f>IF(ISBLANK(A25),"",VLOOKUP(A25,Management!$A$11:$C$25,2,0))</f>
        <v/>
      </c>
      <c r="C25" s="21"/>
      <c r="D25" s="22"/>
      <c r="E25" s="32"/>
      <c r="F25" s="34" t="str">
        <f>IF(OR(ISBLANK(E25),E25="Other"),"",VLOOKUP(E25,Management!$A$11:$B$25,2,0))</f>
        <v/>
      </c>
      <c r="G25" s="108"/>
      <c r="H25" s="23"/>
      <c r="I25" s="34"/>
      <c r="J25" s="218" t="str">
        <f>IF(ISBLANK(A25),"",IF(OR(ISBLANK(C25),ISBLANK(D25),ISBLANK(G25),ISBLANK(H25),ISBLANK(I25)),"Missing data",H25*VLOOKUP(I25,Ceilings!$J$4:$K$5,2,0)))</f>
        <v/>
      </c>
    </row>
    <row r="26" spans="1:10">
      <c r="A26" s="32"/>
      <c r="B26" s="33" t="str">
        <f>IF(ISBLANK(A26),"",VLOOKUP(A26,Management!$A$11:$C$25,2,0))</f>
        <v/>
      </c>
      <c r="C26" s="21"/>
      <c r="D26" s="22"/>
      <c r="E26" s="32"/>
      <c r="F26" s="34" t="str">
        <f>IF(OR(ISBLANK(E26),E26="Other"),"",VLOOKUP(E26,Management!$A$11:$B$25,2,0))</f>
        <v/>
      </c>
      <c r="G26" s="108"/>
      <c r="H26" s="23"/>
      <c r="I26" s="34"/>
      <c r="J26" s="218" t="str">
        <f>IF(ISBLANK(A26),"",IF(OR(ISBLANK(C26),ISBLANK(D26),ISBLANK(G26),ISBLANK(H26),ISBLANK(I26)),"Missing data",H26*VLOOKUP(I26,Ceilings!$J$4:$K$5,2,0)))</f>
        <v/>
      </c>
    </row>
    <row r="27" spans="1:10">
      <c r="A27" s="32"/>
      <c r="B27" s="33" t="str">
        <f>IF(ISBLANK(A27),"",VLOOKUP(A27,Management!$A$11:$C$25,2,0))</f>
        <v/>
      </c>
      <c r="C27" s="21"/>
      <c r="D27" s="22"/>
      <c r="E27" s="32"/>
      <c r="F27" s="34" t="str">
        <f>IF(OR(ISBLANK(E27),E27="Other"),"",VLOOKUP(E27,Management!$A$11:$B$25,2,0))</f>
        <v/>
      </c>
      <c r="G27" s="108"/>
      <c r="H27" s="23"/>
      <c r="I27" s="34"/>
      <c r="J27" s="218" t="str">
        <f>IF(ISBLANK(A27),"",IF(OR(ISBLANK(C27),ISBLANK(D27),ISBLANK(G27),ISBLANK(H27),ISBLANK(I27)),"Missing data",H27*VLOOKUP(I27,Ceilings!$J$4:$K$5,2,0)))</f>
        <v/>
      </c>
    </row>
    <row r="28" spans="1:10">
      <c r="A28" s="32"/>
      <c r="B28" s="33" t="str">
        <f>IF(ISBLANK(A28),"",VLOOKUP(A28,Management!$A$11:$C$25,2,0))</f>
        <v/>
      </c>
      <c r="C28" s="21"/>
      <c r="D28" s="22"/>
      <c r="E28" s="32"/>
      <c r="F28" s="34" t="str">
        <f>IF(OR(ISBLANK(E28),E28="Other"),"",VLOOKUP(E28,Management!$A$11:$B$25,2,0))</f>
        <v/>
      </c>
      <c r="G28" s="108"/>
      <c r="H28" s="23"/>
      <c r="I28" s="34"/>
      <c r="J28" s="218" t="str">
        <f>IF(ISBLANK(A28),"",IF(OR(ISBLANK(C28),ISBLANK(D28),ISBLANK(G28),ISBLANK(H28),ISBLANK(I28)),"Missing data",H28*VLOOKUP(I28,Ceilings!$J$4:$K$5,2,0)))</f>
        <v/>
      </c>
    </row>
    <row r="29" spans="1:10">
      <c r="A29" s="32"/>
      <c r="B29" s="33" t="str">
        <f>IF(ISBLANK(A29),"",VLOOKUP(A29,Management!$A$11:$C$25,2,0))</f>
        <v/>
      </c>
      <c r="C29" s="21"/>
      <c r="D29" s="22"/>
      <c r="E29" s="32"/>
      <c r="F29" s="34" t="str">
        <f>IF(OR(ISBLANK(E29),E29="Other"),"",VLOOKUP(E29,Management!$A$11:$B$25,2,0))</f>
        <v/>
      </c>
      <c r="G29" s="108"/>
      <c r="H29" s="23"/>
      <c r="I29" s="34"/>
      <c r="J29" s="218" t="str">
        <f>IF(ISBLANK(A29),"",IF(OR(ISBLANK(C29),ISBLANK(D29),ISBLANK(G29),ISBLANK(H29),ISBLANK(I29)),"Missing data",H29*VLOOKUP(I29,Ceilings!$J$4:$K$5,2,0)))</f>
        <v/>
      </c>
    </row>
    <row r="30" spans="1:10">
      <c r="A30" s="32"/>
      <c r="B30" s="33" t="str">
        <f>IF(ISBLANK(A30),"",VLOOKUP(A30,Management!$A$11:$C$25,2,0))</f>
        <v/>
      </c>
      <c r="C30" s="21"/>
      <c r="D30" s="22"/>
      <c r="E30" s="32"/>
      <c r="F30" s="34" t="str">
        <f>IF(OR(ISBLANK(E30),E30="Other"),"",VLOOKUP(E30,Management!$A$11:$B$25,2,0))</f>
        <v/>
      </c>
      <c r="G30" s="108"/>
      <c r="H30" s="23"/>
      <c r="I30" s="34"/>
      <c r="J30" s="218" t="str">
        <f>IF(ISBLANK(A30),"",IF(OR(ISBLANK(C30),ISBLANK(D30),ISBLANK(G30),ISBLANK(H30),ISBLANK(I30)),"Missing data",H30*VLOOKUP(I30,Ceilings!$J$4:$K$5,2,0)))</f>
        <v/>
      </c>
    </row>
    <row r="31" spans="1:10">
      <c r="A31" s="32"/>
      <c r="B31" s="33" t="str">
        <f>IF(ISBLANK(A31),"",VLOOKUP(A31,Management!$A$11:$C$25,2,0))</f>
        <v/>
      </c>
      <c r="C31" s="21"/>
      <c r="D31" s="22"/>
      <c r="E31" s="32"/>
      <c r="F31" s="34" t="str">
        <f>IF(OR(ISBLANK(E31),E31="Other"),"",VLOOKUP(E31,Management!$A$11:$B$25,2,0))</f>
        <v/>
      </c>
      <c r="G31" s="108"/>
      <c r="H31" s="23"/>
      <c r="I31" s="34"/>
      <c r="J31" s="218" t="str">
        <f>IF(ISBLANK(A31),"",IF(OR(ISBLANK(C31),ISBLANK(D31),ISBLANK(G31),ISBLANK(H31),ISBLANK(I31)),"Missing data",H31*VLOOKUP(I31,Ceilings!$J$4:$K$5,2,0)))</f>
        <v/>
      </c>
    </row>
    <row r="32" spans="1:10">
      <c r="A32" s="32"/>
      <c r="B32" s="33" t="str">
        <f>IF(ISBLANK(A32),"",VLOOKUP(A32,Management!$A$11:$C$25,2,0))</f>
        <v/>
      </c>
      <c r="C32" s="21"/>
      <c r="D32" s="22"/>
      <c r="E32" s="32"/>
      <c r="F32" s="34" t="str">
        <f>IF(OR(ISBLANK(E32),E32="Other"),"",VLOOKUP(E32,Management!$A$11:$B$25,2,0))</f>
        <v/>
      </c>
      <c r="G32" s="108"/>
      <c r="H32" s="23"/>
      <c r="I32" s="34"/>
      <c r="J32" s="218" t="str">
        <f>IF(ISBLANK(A32),"",IF(OR(ISBLANK(C32),ISBLANK(D32),ISBLANK(G32),ISBLANK(H32),ISBLANK(I32)),"Missing data",H32*VLOOKUP(I32,Ceilings!$J$4:$K$5,2,0)))</f>
        <v/>
      </c>
    </row>
    <row r="33" spans="1:10">
      <c r="A33" s="32"/>
      <c r="B33" s="33" t="str">
        <f>IF(ISBLANK(A33),"",VLOOKUP(A33,Management!$A$11:$C$25,2,0))</f>
        <v/>
      </c>
      <c r="C33" s="21"/>
      <c r="D33" s="22"/>
      <c r="E33" s="32"/>
      <c r="F33" s="34" t="str">
        <f>IF(OR(ISBLANK(E33),E33="Other"),"",VLOOKUP(E33,Management!$A$11:$B$25,2,0))</f>
        <v/>
      </c>
      <c r="G33" s="108"/>
      <c r="H33" s="23"/>
      <c r="I33" s="34"/>
      <c r="J33" s="218" t="str">
        <f>IF(ISBLANK(A33),"",IF(OR(ISBLANK(C33),ISBLANK(D33),ISBLANK(G33),ISBLANK(H33),ISBLANK(I33)),"Missing data",H33*VLOOKUP(I33,Ceilings!$J$4:$K$5,2,0)))</f>
        <v/>
      </c>
    </row>
    <row r="34" spans="1:10">
      <c r="A34" s="32"/>
      <c r="B34" s="33" t="str">
        <f>IF(ISBLANK(A34),"",VLOOKUP(A34,Management!$A$11:$C$25,2,0))</f>
        <v/>
      </c>
      <c r="C34" s="21"/>
      <c r="D34" s="22"/>
      <c r="E34" s="32"/>
      <c r="F34" s="34" t="str">
        <f>IF(OR(ISBLANK(E34),E34="Other"),"",VLOOKUP(E34,Management!$A$11:$B$25,2,0))</f>
        <v/>
      </c>
      <c r="G34" s="108"/>
      <c r="H34" s="23"/>
      <c r="I34" s="34"/>
      <c r="J34" s="218" t="str">
        <f>IF(ISBLANK(A34),"",IF(OR(ISBLANK(C34),ISBLANK(D34),ISBLANK(G34),ISBLANK(H34),ISBLANK(I34)),"Missing data",H34*VLOOKUP(I34,Ceilings!$J$4:$K$5,2,0)))</f>
        <v/>
      </c>
    </row>
    <row r="35" spans="1:10">
      <c r="A35" s="32"/>
      <c r="B35" s="33" t="str">
        <f>IF(ISBLANK(A35),"",VLOOKUP(A35,Management!$A$11:$C$25,2,0))</f>
        <v/>
      </c>
      <c r="C35" s="21"/>
      <c r="D35" s="22"/>
      <c r="E35" s="32"/>
      <c r="F35" s="34" t="str">
        <f>IF(OR(ISBLANK(E35),E35="Other"),"",VLOOKUP(E35,Management!$A$11:$B$25,2,0))</f>
        <v/>
      </c>
      <c r="G35" s="108"/>
      <c r="H35" s="23"/>
      <c r="I35" s="34"/>
      <c r="J35" s="218" t="str">
        <f>IF(ISBLANK(A35),"",IF(OR(ISBLANK(C35),ISBLANK(D35),ISBLANK(G35),ISBLANK(H35),ISBLANK(I35)),"Missing data",H35*VLOOKUP(I35,Ceilings!$J$4:$K$5,2,0)))</f>
        <v/>
      </c>
    </row>
    <row r="36" spans="1:10">
      <c r="A36" s="32"/>
      <c r="B36" s="33" t="str">
        <f>IF(ISBLANK(A36),"",VLOOKUP(A36,Management!$A$11:$C$25,2,0))</f>
        <v/>
      </c>
      <c r="C36" s="21"/>
      <c r="D36" s="22"/>
      <c r="E36" s="32"/>
      <c r="F36" s="34" t="str">
        <f>IF(OR(ISBLANK(E36),E36="Other"),"",VLOOKUP(E36,Management!$A$11:$B$25,2,0))</f>
        <v/>
      </c>
      <c r="G36" s="108"/>
      <c r="H36" s="23"/>
      <c r="I36" s="34"/>
      <c r="J36" s="218" t="str">
        <f>IF(ISBLANK(A36),"",IF(OR(ISBLANK(C36),ISBLANK(D36),ISBLANK(G36),ISBLANK(H36),ISBLANK(I36)),"Missing data",H36*VLOOKUP(I36,Ceilings!$J$4:$K$5,2,0)))</f>
        <v/>
      </c>
    </row>
    <row r="37" spans="1:10">
      <c r="A37" s="32"/>
      <c r="B37" s="33" t="str">
        <f>IF(ISBLANK(A37),"",VLOOKUP(A37,Management!$A$11:$C$25,2,0))</f>
        <v/>
      </c>
      <c r="C37" s="21"/>
      <c r="D37" s="22"/>
      <c r="E37" s="32"/>
      <c r="F37" s="34" t="str">
        <f>IF(OR(ISBLANK(E37),E37="Other"),"",VLOOKUP(E37,Management!$A$11:$B$25,2,0))</f>
        <v/>
      </c>
      <c r="G37" s="108"/>
      <c r="H37" s="23"/>
      <c r="I37" s="34"/>
      <c r="J37" s="218" t="str">
        <f>IF(ISBLANK(A37),"",IF(OR(ISBLANK(C37),ISBLANK(D37),ISBLANK(G37),ISBLANK(H37),ISBLANK(I37)),"Missing data",H37*VLOOKUP(I37,Ceilings!$J$4:$K$5,2,0)))</f>
        <v/>
      </c>
    </row>
    <row r="38" spans="1:10">
      <c r="A38" s="32"/>
      <c r="B38" s="33" t="str">
        <f>IF(ISBLANK(A38),"",VLOOKUP(A38,Management!$A$11:$C$25,2,0))</f>
        <v/>
      </c>
      <c r="C38" s="21"/>
      <c r="D38" s="22"/>
      <c r="E38" s="32"/>
      <c r="F38" s="34" t="str">
        <f>IF(OR(ISBLANK(E38),E38="Other"),"",VLOOKUP(E38,Management!$A$11:$B$25,2,0))</f>
        <v/>
      </c>
      <c r="G38" s="108"/>
      <c r="H38" s="23"/>
      <c r="I38" s="34"/>
      <c r="J38" s="218" t="str">
        <f>IF(ISBLANK(A38),"",IF(OR(ISBLANK(C38),ISBLANK(D38),ISBLANK(G38),ISBLANK(H38),ISBLANK(I38)),"Missing data",H38*VLOOKUP(I38,Ceilings!$J$4:$K$5,2,0)))</f>
        <v/>
      </c>
    </row>
    <row r="39" spans="1:10">
      <c r="A39" s="32"/>
      <c r="B39" s="33" t="str">
        <f>IF(ISBLANK(A39),"",VLOOKUP(A39,Management!$A$11:$C$25,2,0))</f>
        <v/>
      </c>
      <c r="C39" s="21"/>
      <c r="D39" s="22"/>
      <c r="E39" s="32"/>
      <c r="F39" s="34" t="str">
        <f>IF(OR(ISBLANK(E39),E39="Other"),"",VLOOKUP(E39,Management!$A$11:$B$25,2,0))</f>
        <v/>
      </c>
      <c r="G39" s="108"/>
      <c r="H39" s="23"/>
      <c r="I39" s="34"/>
      <c r="J39" s="218" t="str">
        <f>IF(ISBLANK(A39),"",IF(OR(ISBLANK(C39),ISBLANK(D39),ISBLANK(G39),ISBLANK(H39),ISBLANK(I39)),"Missing data",H39*VLOOKUP(I39,Ceilings!$J$4:$K$5,2,0)))</f>
        <v/>
      </c>
    </row>
    <row r="40" spans="1:10">
      <c r="A40" s="32"/>
      <c r="B40" s="33" t="str">
        <f>IF(ISBLANK(A40),"",VLOOKUP(A40,Management!$A$11:$C$25,2,0))</f>
        <v/>
      </c>
      <c r="C40" s="21"/>
      <c r="D40" s="22"/>
      <c r="E40" s="32"/>
      <c r="F40" s="34" t="str">
        <f>IF(OR(ISBLANK(E40),E40="Other"),"",VLOOKUP(E40,Management!$A$11:$B$25,2,0))</f>
        <v/>
      </c>
      <c r="G40" s="108"/>
      <c r="H40" s="23"/>
      <c r="I40" s="34"/>
      <c r="J40" s="218" t="str">
        <f>IF(ISBLANK(A40),"",IF(OR(ISBLANK(C40),ISBLANK(D40),ISBLANK(G40),ISBLANK(H40),ISBLANK(I40)),"Missing data",H40*VLOOKUP(I40,Ceilings!$J$4:$K$5,2,0)))</f>
        <v/>
      </c>
    </row>
    <row r="41" spans="1:10">
      <c r="A41" s="32"/>
      <c r="B41" s="33" t="str">
        <f>IF(ISBLANK(A41),"",VLOOKUP(A41,Management!$A$11:$C$25,2,0))</f>
        <v/>
      </c>
      <c r="C41" s="21"/>
      <c r="D41" s="22"/>
      <c r="E41" s="32"/>
      <c r="F41" s="34" t="str">
        <f>IF(OR(ISBLANK(E41),E41="Other"),"",VLOOKUP(E41,Management!$A$11:$B$25,2,0))</f>
        <v/>
      </c>
      <c r="G41" s="108"/>
      <c r="H41" s="23"/>
      <c r="I41" s="34"/>
      <c r="J41" s="218" t="str">
        <f>IF(ISBLANK(A41),"",IF(OR(ISBLANK(C41),ISBLANK(D41),ISBLANK(G41),ISBLANK(H41),ISBLANK(I41)),"Missing data",H41*VLOOKUP(I41,Ceilings!$J$4:$K$5,2,0)))</f>
        <v/>
      </c>
    </row>
    <row r="42" spans="1:10">
      <c r="A42" s="32"/>
      <c r="B42" s="33" t="str">
        <f>IF(ISBLANK(A42),"",VLOOKUP(A42,Management!$A$11:$C$25,2,0))</f>
        <v/>
      </c>
      <c r="C42" s="21"/>
      <c r="D42" s="22"/>
      <c r="E42" s="32"/>
      <c r="F42" s="34" t="str">
        <f>IF(OR(ISBLANK(E42),E42="Other"),"",VLOOKUP(E42,Management!$A$11:$B$25,2,0))</f>
        <v/>
      </c>
      <c r="G42" s="108"/>
      <c r="H42" s="23"/>
      <c r="I42" s="34"/>
      <c r="J42" s="218" t="str">
        <f>IF(ISBLANK(A42),"",IF(OR(ISBLANK(C42),ISBLANK(D42),ISBLANK(G42),ISBLANK(H42),ISBLANK(I42)),"Missing data",H42*VLOOKUP(I42,Ceilings!$J$4:$K$5,2,0)))</f>
        <v/>
      </c>
    </row>
    <row r="43" spans="1:10">
      <c r="A43" s="32"/>
      <c r="B43" s="33" t="str">
        <f>IF(ISBLANK(A43),"",VLOOKUP(A43,Management!$A$11:$C$25,2,0))</f>
        <v/>
      </c>
      <c r="C43" s="21"/>
      <c r="D43" s="22"/>
      <c r="E43" s="32"/>
      <c r="F43" s="34" t="str">
        <f>IF(OR(ISBLANK(E43),E43="Other"),"",VLOOKUP(E43,Management!$A$11:$B$25,2,0))</f>
        <v/>
      </c>
      <c r="G43" s="108"/>
      <c r="H43" s="23"/>
      <c r="I43" s="34"/>
      <c r="J43" s="218" t="str">
        <f>IF(ISBLANK(A43),"",IF(OR(ISBLANK(C43),ISBLANK(D43),ISBLANK(G43),ISBLANK(H43),ISBLANK(I43)),"Missing data",H43*VLOOKUP(I43,Ceilings!$J$4:$K$5,2,0)))</f>
        <v/>
      </c>
    </row>
    <row r="44" spans="1:10">
      <c r="A44" s="32"/>
      <c r="B44" s="33" t="str">
        <f>IF(ISBLANK(A44),"",VLOOKUP(A44,Management!$A$11:$C$25,2,0))</f>
        <v/>
      </c>
      <c r="C44" s="21"/>
      <c r="D44" s="22"/>
      <c r="E44" s="32"/>
      <c r="F44" s="34" t="str">
        <f>IF(OR(ISBLANK(E44),E44="Other"),"",VLOOKUP(E44,Management!$A$11:$B$25,2,0))</f>
        <v/>
      </c>
      <c r="G44" s="108"/>
      <c r="H44" s="23"/>
      <c r="I44" s="34"/>
      <c r="J44" s="218" t="str">
        <f>IF(ISBLANK(A44),"",IF(OR(ISBLANK(C44),ISBLANK(D44),ISBLANK(G44),ISBLANK(H44),ISBLANK(I44)),"Missing data",H44*VLOOKUP(I44,Ceilings!$J$4:$K$5,2,0)))</f>
        <v/>
      </c>
    </row>
    <row r="45" spans="1:10">
      <c r="A45" s="32"/>
      <c r="B45" s="33" t="str">
        <f>IF(ISBLANK(A45),"",VLOOKUP(A45,Management!$A$11:$C$25,2,0))</f>
        <v/>
      </c>
      <c r="C45" s="21"/>
      <c r="D45" s="22"/>
      <c r="E45" s="32"/>
      <c r="F45" s="34" t="str">
        <f>IF(OR(ISBLANK(E45),E45="Other"),"",VLOOKUP(E45,Management!$A$11:$B$25,2,0))</f>
        <v/>
      </c>
      <c r="G45" s="108"/>
      <c r="H45" s="23"/>
      <c r="I45" s="34"/>
      <c r="J45" s="218" t="str">
        <f>IF(ISBLANK(A45),"",IF(OR(ISBLANK(C45),ISBLANK(D45),ISBLANK(G45),ISBLANK(H45),ISBLANK(I45)),"Missing data",H45*VLOOKUP(I45,Ceilings!$J$4:$K$5,2,0)))</f>
        <v/>
      </c>
    </row>
    <row r="46" spans="1:10">
      <c r="A46" s="32"/>
      <c r="B46" s="33" t="str">
        <f>IF(ISBLANK(A46),"",VLOOKUP(A46,Management!$A$11:$C$25,2,0))</f>
        <v/>
      </c>
      <c r="C46" s="21"/>
      <c r="D46" s="22"/>
      <c r="E46" s="32"/>
      <c r="F46" s="34" t="str">
        <f>IF(OR(ISBLANK(E46),E46="Other"),"",VLOOKUP(E46,Management!$A$11:$B$25,2,0))</f>
        <v/>
      </c>
      <c r="G46" s="108"/>
      <c r="H46" s="23"/>
      <c r="I46" s="34"/>
      <c r="J46" s="218" t="str">
        <f>IF(ISBLANK(A46),"",IF(OR(ISBLANK(C46),ISBLANK(D46),ISBLANK(G46),ISBLANK(H46),ISBLANK(I46)),"Missing data",H46*VLOOKUP(I46,Ceilings!$J$4:$K$5,2,0)))</f>
        <v/>
      </c>
    </row>
    <row r="47" spans="1:10">
      <c r="A47" s="32"/>
      <c r="B47" s="33" t="str">
        <f>IF(ISBLANK(A47),"",VLOOKUP(A47,Management!$A$11:$C$25,2,0))</f>
        <v/>
      </c>
      <c r="C47" s="21"/>
      <c r="D47" s="22"/>
      <c r="E47" s="32"/>
      <c r="F47" s="34" t="str">
        <f>IF(OR(ISBLANK(E47),E47="Other"),"",VLOOKUP(E47,Management!$A$11:$B$25,2,0))</f>
        <v/>
      </c>
      <c r="G47" s="108"/>
      <c r="H47" s="23"/>
      <c r="I47" s="34"/>
      <c r="J47" s="218" t="str">
        <f>IF(ISBLANK(A47),"",IF(OR(ISBLANK(C47),ISBLANK(D47),ISBLANK(G47),ISBLANK(H47),ISBLANK(I47)),"Missing data",H47*VLOOKUP(I47,Ceilings!$J$4:$K$5,2,0)))</f>
        <v/>
      </c>
    </row>
    <row r="48" spans="1:10">
      <c r="A48" s="32"/>
      <c r="B48" s="33" t="str">
        <f>IF(ISBLANK(A48),"",VLOOKUP(A48,Management!$A$11:$C$25,2,0))</f>
        <v/>
      </c>
      <c r="C48" s="21"/>
      <c r="D48" s="22"/>
      <c r="E48" s="32"/>
      <c r="F48" s="34" t="str">
        <f>IF(OR(ISBLANK(E48),E48="Other"),"",VLOOKUP(E48,Management!$A$11:$B$25,2,0))</f>
        <v/>
      </c>
      <c r="G48" s="108"/>
      <c r="H48" s="23"/>
      <c r="I48" s="34"/>
      <c r="J48" s="218" t="str">
        <f>IF(ISBLANK(A48),"",IF(OR(ISBLANK(C48),ISBLANK(D48),ISBLANK(G48),ISBLANK(H48),ISBLANK(I48)),"Missing data",H48*VLOOKUP(I48,Ceilings!$J$4:$K$5,2,0)))</f>
        <v/>
      </c>
    </row>
    <row r="49" spans="1:10">
      <c r="A49" s="32"/>
      <c r="B49" s="33" t="str">
        <f>IF(ISBLANK(A49),"",VLOOKUP(A49,Management!$A$11:$C$25,2,0))</f>
        <v/>
      </c>
      <c r="C49" s="21"/>
      <c r="D49" s="22"/>
      <c r="E49" s="32"/>
      <c r="F49" s="34" t="str">
        <f>IF(OR(ISBLANK(E49),E49="Other"),"",VLOOKUP(E49,Management!$A$11:$B$25,2,0))</f>
        <v/>
      </c>
      <c r="G49" s="108"/>
      <c r="H49" s="23"/>
      <c r="I49" s="34"/>
      <c r="J49" s="218" t="str">
        <f>IF(ISBLANK(A49),"",IF(OR(ISBLANK(C49),ISBLANK(D49),ISBLANK(G49),ISBLANK(H49),ISBLANK(I49)),"Missing data",H49*VLOOKUP(I49,Ceilings!$J$4:$K$5,2,0)))</f>
        <v/>
      </c>
    </row>
    <row r="50" spans="1:10">
      <c r="A50" s="32"/>
      <c r="B50" s="33" t="str">
        <f>IF(ISBLANK(A50),"",VLOOKUP(A50,Management!$A$11:$C$25,2,0))</f>
        <v/>
      </c>
      <c r="C50" s="21"/>
      <c r="D50" s="22"/>
      <c r="E50" s="32"/>
      <c r="F50" s="34" t="str">
        <f>IF(OR(ISBLANK(E50),E50="Other"),"",VLOOKUP(E50,Management!$A$11:$B$25,2,0))</f>
        <v/>
      </c>
      <c r="G50" s="108"/>
      <c r="H50" s="23"/>
      <c r="I50" s="34"/>
      <c r="J50" s="218" t="str">
        <f>IF(ISBLANK(A50),"",IF(OR(ISBLANK(C50),ISBLANK(D50),ISBLANK(G50),ISBLANK(H50),ISBLANK(I50)),"Missing data",H50*VLOOKUP(I50,Ceilings!$J$4:$K$5,2,0)))</f>
        <v/>
      </c>
    </row>
    <row r="51" spans="1:10">
      <c r="A51" s="32"/>
      <c r="B51" s="33" t="str">
        <f>IF(ISBLANK(A51),"",VLOOKUP(A51,Management!$A$11:$C$25,2,0))</f>
        <v/>
      </c>
      <c r="C51" s="21"/>
      <c r="D51" s="22"/>
      <c r="E51" s="32"/>
      <c r="F51" s="34" t="str">
        <f>IF(OR(ISBLANK(E51),E51="Other"),"",VLOOKUP(E51,Management!$A$11:$B$25,2,0))</f>
        <v/>
      </c>
      <c r="G51" s="108"/>
      <c r="H51" s="23"/>
      <c r="I51" s="34"/>
      <c r="J51" s="218" t="str">
        <f>IF(ISBLANK(A51),"",IF(OR(ISBLANK(C51),ISBLANK(D51),ISBLANK(G51),ISBLANK(H51),ISBLANK(I51)),"Missing data",H51*VLOOKUP(I51,Ceilings!$J$4:$K$5,2,0)))</f>
        <v/>
      </c>
    </row>
    <row r="52" spans="1:10">
      <c r="A52" s="32"/>
      <c r="B52" s="33" t="str">
        <f>IF(ISBLANK(A52),"",VLOOKUP(A52,Management!$A$11:$C$25,2,0))</f>
        <v/>
      </c>
      <c r="C52" s="21"/>
      <c r="D52" s="22"/>
      <c r="E52" s="32"/>
      <c r="F52" s="34" t="str">
        <f>IF(OR(ISBLANK(E52),E52="Other"),"",VLOOKUP(E52,Management!$A$11:$B$25,2,0))</f>
        <v/>
      </c>
      <c r="G52" s="108"/>
      <c r="H52" s="23"/>
      <c r="I52" s="34"/>
      <c r="J52" s="218" t="str">
        <f>IF(ISBLANK(A52),"",IF(OR(ISBLANK(C52),ISBLANK(D52),ISBLANK(G52),ISBLANK(H52),ISBLANK(I52)),"Missing data",H52*VLOOKUP(I52,Ceilings!$J$4:$K$5,2,0)))</f>
        <v/>
      </c>
    </row>
    <row r="53" spans="1:10">
      <c r="A53" s="32"/>
      <c r="B53" s="33" t="str">
        <f>IF(ISBLANK(A53),"",VLOOKUP(A53,Management!$A$11:$C$25,2,0))</f>
        <v/>
      </c>
      <c r="C53" s="21"/>
      <c r="D53" s="22"/>
      <c r="E53" s="32"/>
      <c r="F53" s="34" t="str">
        <f>IF(OR(ISBLANK(E53),E53="Other"),"",VLOOKUP(E53,Management!$A$11:$B$25,2,0))</f>
        <v/>
      </c>
      <c r="G53" s="108"/>
      <c r="H53" s="23"/>
      <c r="I53" s="34"/>
      <c r="J53" s="218" t="str">
        <f>IF(ISBLANK(A53),"",IF(OR(ISBLANK(C53),ISBLANK(D53),ISBLANK(G53),ISBLANK(H53),ISBLANK(I53)),"Missing data",H53*VLOOKUP(I53,Ceilings!$J$4:$K$5,2,0)))</f>
        <v/>
      </c>
    </row>
    <row r="54" spans="1:10">
      <c r="A54" s="32"/>
      <c r="B54" s="33" t="str">
        <f>IF(ISBLANK(A54),"",VLOOKUP(A54,Management!$A$11:$C$25,2,0))</f>
        <v/>
      </c>
      <c r="C54" s="21"/>
      <c r="D54" s="22"/>
      <c r="E54" s="32"/>
      <c r="F54" s="34" t="str">
        <f>IF(OR(ISBLANK(E54),E54="Other"),"",VLOOKUP(E54,Management!$A$11:$B$25,2,0))</f>
        <v/>
      </c>
      <c r="G54" s="108"/>
      <c r="H54" s="23"/>
      <c r="I54" s="34"/>
      <c r="J54" s="218" t="str">
        <f>IF(ISBLANK(A54),"",IF(OR(ISBLANK(C54),ISBLANK(D54),ISBLANK(G54),ISBLANK(H54),ISBLANK(I54)),"Missing data",H54*VLOOKUP(I54,Ceilings!$J$4:$K$5,2,0)))</f>
        <v/>
      </c>
    </row>
    <row r="55" spans="1:10">
      <c r="A55" s="32"/>
      <c r="B55" s="33" t="str">
        <f>IF(ISBLANK(A55),"",VLOOKUP(A55,Management!$A$11:$C$25,2,0))</f>
        <v/>
      </c>
      <c r="C55" s="21"/>
      <c r="D55" s="22"/>
      <c r="E55" s="32"/>
      <c r="F55" s="34" t="str">
        <f>IF(OR(ISBLANK(E55),E55="Other"),"",VLOOKUP(E55,Management!$A$11:$B$25,2,0))</f>
        <v/>
      </c>
      <c r="G55" s="108"/>
      <c r="H55" s="23"/>
      <c r="I55" s="34"/>
      <c r="J55" s="218" t="str">
        <f>IF(ISBLANK(A55),"",IF(OR(ISBLANK(C55),ISBLANK(D55),ISBLANK(G55),ISBLANK(H55),ISBLANK(I55)),"Missing data",H55*VLOOKUP(I55,Ceilings!$J$4:$K$5,2,0)))</f>
        <v/>
      </c>
    </row>
    <row r="56" spans="1:10">
      <c r="A56" s="32"/>
      <c r="B56" s="33" t="str">
        <f>IF(ISBLANK(A56),"",VLOOKUP(A56,Management!$A$11:$C$25,2,0))</f>
        <v/>
      </c>
      <c r="C56" s="21"/>
      <c r="D56" s="22"/>
      <c r="E56" s="32"/>
      <c r="F56" s="34" t="str">
        <f>IF(OR(ISBLANK(E56),E56="Other"),"",VLOOKUP(E56,Management!$A$11:$B$25,2,0))</f>
        <v/>
      </c>
      <c r="G56" s="108"/>
      <c r="H56" s="23"/>
      <c r="I56" s="34"/>
      <c r="J56" s="218" t="str">
        <f>IF(ISBLANK(A56),"",IF(OR(ISBLANK(C56),ISBLANK(D56),ISBLANK(G56),ISBLANK(H56),ISBLANK(I56)),"Missing data",H56*VLOOKUP(I56,Ceilings!$J$4:$K$5,2,0)))</f>
        <v/>
      </c>
    </row>
    <row r="57" spans="1:10">
      <c r="A57" s="32"/>
      <c r="B57" s="33" t="str">
        <f>IF(ISBLANK(A57),"",VLOOKUP(A57,Management!$A$11:$C$25,2,0))</f>
        <v/>
      </c>
      <c r="C57" s="21"/>
      <c r="D57" s="22"/>
      <c r="E57" s="32"/>
      <c r="F57" s="34" t="str">
        <f>IF(OR(ISBLANK(E57),E57="Other"),"",VLOOKUP(E57,Management!$A$11:$B$25,2,0))</f>
        <v/>
      </c>
      <c r="G57" s="108"/>
      <c r="H57" s="23"/>
      <c r="I57" s="34"/>
      <c r="J57" s="218" t="str">
        <f>IF(ISBLANK(A57),"",IF(OR(ISBLANK(C57),ISBLANK(D57),ISBLANK(G57),ISBLANK(H57),ISBLANK(I57)),"Missing data",H57*VLOOKUP(I57,Ceilings!$J$4:$K$5,2,0)))</f>
        <v/>
      </c>
    </row>
    <row r="58" spans="1:10">
      <c r="A58" s="32"/>
      <c r="B58" s="33" t="str">
        <f>IF(ISBLANK(A58),"",VLOOKUP(A58,Management!$A$11:$C$25,2,0))</f>
        <v/>
      </c>
      <c r="C58" s="21"/>
      <c r="D58" s="22"/>
      <c r="E58" s="32"/>
      <c r="F58" s="34" t="str">
        <f>IF(OR(ISBLANK(E58),E58="Other"),"",VLOOKUP(E58,Management!$A$11:$B$25,2,0))</f>
        <v/>
      </c>
      <c r="G58" s="108"/>
      <c r="H58" s="23"/>
      <c r="I58" s="34"/>
      <c r="J58" s="218" t="str">
        <f>IF(ISBLANK(A58),"",IF(OR(ISBLANK(C58),ISBLANK(D58),ISBLANK(G58),ISBLANK(H58),ISBLANK(I58)),"Missing data",H58*VLOOKUP(I58,Ceilings!$J$4:$K$5,2,0)))</f>
        <v/>
      </c>
    </row>
    <row r="59" spans="1:10">
      <c r="A59" s="32"/>
      <c r="B59" s="33" t="str">
        <f>IF(ISBLANK(A59),"",VLOOKUP(A59,Management!$A$11:$C$25,2,0))</f>
        <v/>
      </c>
      <c r="C59" s="21"/>
      <c r="D59" s="22"/>
      <c r="E59" s="32"/>
      <c r="F59" s="34" t="str">
        <f>IF(OR(ISBLANK(E59),E59="Other"),"",VLOOKUP(E59,Management!$A$11:$B$25,2,0))</f>
        <v/>
      </c>
      <c r="G59" s="108"/>
      <c r="H59" s="23"/>
      <c r="I59" s="34"/>
      <c r="J59" s="218" t="str">
        <f>IF(ISBLANK(A59),"",IF(OR(ISBLANK(C59),ISBLANK(D59),ISBLANK(G59),ISBLANK(H59),ISBLANK(I59)),"Missing data",H59*VLOOKUP(I59,Ceilings!$J$4:$K$5,2,0)))</f>
        <v/>
      </c>
    </row>
    <row r="60" spans="1:10">
      <c r="A60" s="32"/>
      <c r="B60" s="33" t="str">
        <f>IF(ISBLANK(A60),"",VLOOKUP(A60,Management!$A$11:$C$25,2,0))</f>
        <v/>
      </c>
      <c r="C60" s="21"/>
      <c r="D60" s="22"/>
      <c r="E60" s="32"/>
      <c r="F60" s="34" t="str">
        <f>IF(OR(ISBLANK(E60),E60="Other"),"",VLOOKUP(E60,Management!$A$11:$B$25,2,0))</f>
        <v/>
      </c>
      <c r="G60" s="108"/>
      <c r="H60" s="23"/>
      <c r="I60" s="34"/>
      <c r="J60" s="218" t="str">
        <f>IF(ISBLANK(A60),"",IF(OR(ISBLANK(C60),ISBLANK(D60),ISBLANK(G60),ISBLANK(H60),ISBLANK(I60)),"Missing data",H60*VLOOKUP(I60,Ceilings!$J$4:$K$5,2,0)))</f>
        <v/>
      </c>
    </row>
    <row r="61" spans="1:10">
      <c r="A61" s="32"/>
      <c r="B61" s="33" t="str">
        <f>IF(ISBLANK(A61),"",VLOOKUP(A61,Management!$A$11:$C$25,2,0))</f>
        <v/>
      </c>
      <c r="C61" s="21"/>
      <c r="D61" s="22"/>
      <c r="E61" s="32"/>
      <c r="F61" s="34" t="str">
        <f>IF(OR(ISBLANK(E61),E61="Other"),"",VLOOKUP(E61,Management!$A$11:$B$25,2,0))</f>
        <v/>
      </c>
      <c r="G61" s="108"/>
      <c r="H61" s="23"/>
      <c r="I61" s="34"/>
      <c r="J61" s="218" t="str">
        <f>IF(ISBLANK(A61),"",IF(OR(ISBLANK(C61),ISBLANK(D61),ISBLANK(G61),ISBLANK(H61),ISBLANK(I61)),"Missing data",H61*VLOOKUP(I61,Ceilings!$J$4:$K$5,2,0)))</f>
        <v/>
      </c>
    </row>
    <row r="62" spans="1:10">
      <c r="A62" s="32"/>
      <c r="B62" s="33" t="str">
        <f>IF(ISBLANK(A62),"",VLOOKUP(A62,Management!$A$11:$C$25,2,0))</f>
        <v/>
      </c>
      <c r="C62" s="21"/>
      <c r="D62" s="22"/>
      <c r="E62" s="32"/>
      <c r="F62" s="34" t="str">
        <f>IF(OR(ISBLANK(E62),E62="Other"),"",VLOOKUP(E62,Management!$A$11:$B$25,2,0))</f>
        <v/>
      </c>
      <c r="G62" s="108"/>
      <c r="H62" s="23"/>
      <c r="I62" s="34"/>
      <c r="J62" s="218" t="str">
        <f>IF(ISBLANK(A62),"",IF(OR(ISBLANK(C62),ISBLANK(D62),ISBLANK(G62),ISBLANK(H62),ISBLANK(I62)),"Missing data",H62*VLOOKUP(I62,Ceilings!$J$4:$K$5,2,0)))</f>
        <v/>
      </c>
    </row>
    <row r="63" spans="1:10">
      <c r="A63" s="32"/>
      <c r="B63" s="33" t="str">
        <f>IF(ISBLANK(A63),"",VLOOKUP(A63,Management!$A$11:$C$25,2,0))</f>
        <v/>
      </c>
      <c r="C63" s="21"/>
      <c r="D63" s="22"/>
      <c r="E63" s="32"/>
      <c r="F63" s="34" t="str">
        <f>IF(OR(ISBLANK(E63),E63="Other"),"",VLOOKUP(E63,Management!$A$11:$B$25,2,0))</f>
        <v/>
      </c>
      <c r="G63" s="108"/>
      <c r="H63" s="23"/>
      <c r="I63" s="34"/>
      <c r="J63" s="218" t="str">
        <f>IF(ISBLANK(A63),"",IF(OR(ISBLANK(C63),ISBLANK(D63),ISBLANK(G63),ISBLANK(H63),ISBLANK(I63)),"Missing data",H63*VLOOKUP(I63,Ceilings!$J$4:$K$5,2,0)))</f>
        <v/>
      </c>
    </row>
    <row r="64" spans="1:10">
      <c r="A64" s="32"/>
      <c r="B64" s="33" t="str">
        <f>IF(ISBLANK(A64),"",VLOOKUP(A64,Management!$A$11:$C$25,2,0))</f>
        <v/>
      </c>
      <c r="C64" s="21"/>
      <c r="D64" s="22"/>
      <c r="E64" s="32"/>
      <c r="F64" s="34" t="str">
        <f>IF(OR(ISBLANK(E64),E64="Other"),"",VLOOKUP(E64,Management!$A$11:$B$25,2,0))</f>
        <v/>
      </c>
      <c r="G64" s="108"/>
      <c r="H64" s="23"/>
      <c r="I64" s="34"/>
      <c r="J64" s="218" t="str">
        <f>IF(ISBLANK(A64),"",IF(OR(ISBLANK(C64),ISBLANK(D64),ISBLANK(G64),ISBLANK(H64),ISBLANK(I64)),"Missing data",H64*VLOOKUP(I64,Ceilings!$J$4:$K$5,2,0)))</f>
        <v/>
      </c>
    </row>
    <row r="65" spans="1:10">
      <c r="A65" s="32"/>
      <c r="B65" s="33" t="str">
        <f>IF(ISBLANK(A65),"",VLOOKUP(A65,Management!$A$11:$C$25,2,0))</f>
        <v/>
      </c>
      <c r="C65" s="21"/>
      <c r="D65" s="22"/>
      <c r="E65" s="32"/>
      <c r="F65" s="34" t="str">
        <f>IF(OR(ISBLANK(E65),E65="Other"),"",VLOOKUP(E65,Management!$A$11:$B$25,2,0))</f>
        <v/>
      </c>
      <c r="G65" s="108"/>
      <c r="H65" s="23"/>
      <c r="I65" s="34"/>
      <c r="J65" s="218" t="str">
        <f>IF(ISBLANK(A65),"",IF(OR(ISBLANK(C65),ISBLANK(D65),ISBLANK(G65),ISBLANK(H65),ISBLANK(I65)),"Missing data",H65*VLOOKUP(I65,Ceilings!$J$4:$K$5,2,0)))</f>
        <v/>
      </c>
    </row>
    <row r="66" spans="1:10">
      <c r="A66" s="32"/>
      <c r="B66" s="33" t="str">
        <f>IF(ISBLANK(A66),"",VLOOKUP(A66,Management!$A$11:$C$25,2,0))</f>
        <v/>
      </c>
      <c r="C66" s="21"/>
      <c r="D66" s="22"/>
      <c r="E66" s="32"/>
      <c r="F66" s="34" t="str">
        <f>IF(OR(ISBLANK(E66),E66="Other"),"",VLOOKUP(E66,Management!$A$11:$B$25,2,0))</f>
        <v/>
      </c>
      <c r="G66" s="108"/>
      <c r="H66" s="23"/>
      <c r="I66" s="34"/>
      <c r="J66" s="218" t="str">
        <f>IF(ISBLANK(A66),"",IF(OR(ISBLANK(C66),ISBLANK(D66),ISBLANK(G66),ISBLANK(H66),ISBLANK(I66)),"Missing data",H66*VLOOKUP(I66,Ceilings!$J$4:$K$5,2,0)))</f>
        <v/>
      </c>
    </row>
    <row r="67" spans="1:10">
      <c r="A67" s="32"/>
      <c r="B67" s="33" t="str">
        <f>IF(ISBLANK(A67),"",VLOOKUP(A67,Management!$A$11:$C$25,2,0))</f>
        <v/>
      </c>
      <c r="C67" s="21"/>
      <c r="D67" s="22"/>
      <c r="E67" s="32"/>
      <c r="F67" s="34" t="str">
        <f>IF(OR(ISBLANK(E67),E67="Other"),"",VLOOKUP(E67,Management!$A$11:$B$25,2,0))</f>
        <v/>
      </c>
      <c r="G67" s="108"/>
      <c r="H67" s="23"/>
      <c r="I67" s="34"/>
      <c r="J67" s="218" t="str">
        <f>IF(ISBLANK(A67),"",IF(OR(ISBLANK(C67),ISBLANK(D67),ISBLANK(G67),ISBLANK(H67),ISBLANK(I67)),"Missing data",H67*VLOOKUP(I67,Ceilings!$J$4:$K$5,2,0)))</f>
        <v/>
      </c>
    </row>
    <row r="68" spans="1:10">
      <c r="A68" s="32"/>
      <c r="B68" s="33" t="str">
        <f>IF(ISBLANK(A68),"",VLOOKUP(A68,Management!$A$11:$C$25,2,0))</f>
        <v/>
      </c>
      <c r="C68" s="21"/>
      <c r="D68" s="22"/>
      <c r="E68" s="32"/>
      <c r="F68" s="34" t="str">
        <f>IF(OR(ISBLANK(E68),E68="Other"),"",VLOOKUP(E68,Management!$A$11:$B$25,2,0))</f>
        <v/>
      </c>
      <c r="G68" s="108"/>
      <c r="H68" s="23"/>
      <c r="I68" s="34"/>
      <c r="J68" s="218" t="str">
        <f>IF(ISBLANK(A68),"",IF(OR(ISBLANK(C68),ISBLANK(D68),ISBLANK(G68),ISBLANK(H68),ISBLANK(I68)),"Missing data",H68*VLOOKUP(I68,Ceilings!$J$4:$K$5,2,0)))</f>
        <v/>
      </c>
    </row>
    <row r="69" spans="1:10">
      <c r="A69" s="32"/>
      <c r="B69" s="33" t="str">
        <f>IF(ISBLANK(A69),"",VLOOKUP(A69,Management!$A$11:$C$25,2,0))</f>
        <v/>
      </c>
      <c r="C69" s="21"/>
      <c r="D69" s="22"/>
      <c r="E69" s="32"/>
      <c r="F69" s="34" t="str">
        <f>IF(OR(ISBLANK(E69),E69="Other"),"",VLOOKUP(E69,Management!$A$11:$B$25,2,0))</f>
        <v/>
      </c>
      <c r="G69" s="108"/>
      <c r="H69" s="23"/>
      <c r="I69" s="34"/>
      <c r="J69" s="218" t="str">
        <f>IF(ISBLANK(A69),"",IF(OR(ISBLANK(C69),ISBLANK(D69),ISBLANK(G69),ISBLANK(H69),ISBLANK(I69)),"Missing data",H69*VLOOKUP(I69,Ceilings!$J$4:$K$5,2,0)))</f>
        <v/>
      </c>
    </row>
    <row r="70" spans="1:10">
      <c r="A70" s="32"/>
      <c r="B70" s="33" t="str">
        <f>IF(ISBLANK(A70),"",VLOOKUP(A70,Management!$A$11:$C$25,2,0))</f>
        <v/>
      </c>
      <c r="C70" s="21"/>
      <c r="D70" s="22"/>
      <c r="E70" s="32"/>
      <c r="F70" s="34" t="str">
        <f>IF(OR(ISBLANK(E70),E70="Other"),"",VLOOKUP(E70,Management!$A$11:$B$25,2,0))</f>
        <v/>
      </c>
      <c r="G70" s="108"/>
      <c r="H70" s="23"/>
      <c r="I70" s="34"/>
      <c r="J70" s="218" t="str">
        <f>IF(ISBLANK(A70),"",IF(OR(ISBLANK(C70),ISBLANK(D70),ISBLANK(G70),ISBLANK(H70),ISBLANK(I70)),"Missing data",H70*VLOOKUP(I70,Ceilings!$J$4:$K$5,2,0)))</f>
        <v/>
      </c>
    </row>
    <row r="71" spans="1:10">
      <c r="A71" s="32"/>
      <c r="B71" s="33" t="str">
        <f>IF(ISBLANK(A71),"",VLOOKUP(A71,Management!$A$11:$C$25,2,0))</f>
        <v/>
      </c>
      <c r="C71" s="21"/>
      <c r="D71" s="22"/>
      <c r="E71" s="32"/>
      <c r="F71" s="34" t="str">
        <f>IF(OR(ISBLANK(E71),E71="Other"),"",VLOOKUP(E71,Management!$A$11:$B$25,2,0))</f>
        <v/>
      </c>
      <c r="G71" s="108"/>
      <c r="H71" s="23"/>
      <c r="I71" s="34"/>
      <c r="J71" s="218" t="str">
        <f>IF(ISBLANK(A71),"",IF(OR(ISBLANK(C71),ISBLANK(D71),ISBLANK(G71),ISBLANK(H71),ISBLANK(I71)),"Missing data",H71*VLOOKUP(I71,Ceilings!$J$4:$K$5,2,0)))</f>
        <v/>
      </c>
    </row>
    <row r="72" spans="1:10">
      <c r="A72" s="32"/>
      <c r="B72" s="33" t="str">
        <f>IF(ISBLANK(A72),"",VLOOKUP(A72,Management!$A$11:$C$25,2,0))</f>
        <v/>
      </c>
      <c r="C72" s="21"/>
      <c r="D72" s="22"/>
      <c r="E72" s="32"/>
      <c r="F72" s="34" t="str">
        <f>IF(OR(ISBLANK(E72),E72="Other"),"",VLOOKUP(E72,Management!$A$11:$B$25,2,0))</f>
        <v/>
      </c>
      <c r="G72" s="108"/>
      <c r="H72" s="23"/>
      <c r="I72" s="34"/>
      <c r="J72" s="218" t="str">
        <f>IF(ISBLANK(A72),"",IF(OR(ISBLANK(C72),ISBLANK(D72),ISBLANK(G72),ISBLANK(H72),ISBLANK(I72)),"Missing data",H72*VLOOKUP(I72,Ceilings!$J$4:$K$5,2,0)))</f>
        <v/>
      </c>
    </row>
    <row r="73" spans="1:10">
      <c r="A73" s="32"/>
      <c r="B73" s="33" t="str">
        <f>IF(ISBLANK(A73),"",VLOOKUP(A73,Management!$A$11:$C$25,2,0))</f>
        <v/>
      </c>
      <c r="C73" s="21"/>
      <c r="D73" s="22"/>
      <c r="E73" s="32"/>
      <c r="F73" s="34" t="str">
        <f>IF(OR(ISBLANK(E73),E73="Other"),"",VLOOKUP(E73,Management!$A$11:$B$25,2,0))</f>
        <v/>
      </c>
      <c r="G73" s="108"/>
      <c r="H73" s="23"/>
      <c r="I73" s="34"/>
      <c r="J73" s="218" t="str">
        <f>IF(ISBLANK(A73),"",IF(OR(ISBLANK(C73),ISBLANK(D73),ISBLANK(G73),ISBLANK(H73),ISBLANK(I73)),"Missing data",H73*VLOOKUP(I73,Ceilings!$J$4:$K$5,2,0)))</f>
        <v/>
      </c>
    </row>
    <row r="74" spans="1:10">
      <c r="A74" s="32"/>
      <c r="B74" s="33" t="str">
        <f>IF(ISBLANK(A74),"",VLOOKUP(A74,Management!$A$11:$C$25,2,0))</f>
        <v/>
      </c>
      <c r="C74" s="21"/>
      <c r="D74" s="22"/>
      <c r="E74" s="32"/>
      <c r="F74" s="34" t="str">
        <f>IF(OR(ISBLANK(E74),E74="Other"),"",VLOOKUP(E74,Management!$A$11:$B$25,2,0))</f>
        <v/>
      </c>
      <c r="G74" s="108"/>
      <c r="H74" s="23"/>
      <c r="I74" s="34"/>
      <c r="J74" s="218" t="str">
        <f>IF(ISBLANK(A74),"",IF(OR(ISBLANK(C74),ISBLANK(D74),ISBLANK(G74),ISBLANK(H74),ISBLANK(I74)),"Missing data",H74*VLOOKUP(I74,Ceilings!$J$4:$K$5,2,0)))</f>
        <v/>
      </c>
    </row>
    <row r="75" spans="1:10">
      <c r="A75" s="32"/>
      <c r="B75" s="33" t="str">
        <f>IF(ISBLANK(A75),"",VLOOKUP(A75,Management!$A$11:$C$25,2,0))</f>
        <v/>
      </c>
      <c r="C75" s="21"/>
      <c r="D75" s="22"/>
      <c r="E75" s="32"/>
      <c r="F75" s="34" t="str">
        <f>IF(OR(ISBLANK(E75),E75="Other"),"",VLOOKUP(E75,Management!$A$11:$B$25,2,0))</f>
        <v/>
      </c>
      <c r="G75" s="108"/>
      <c r="H75" s="23"/>
      <c r="I75" s="34"/>
      <c r="J75" s="218" t="str">
        <f>IF(ISBLANK(A75),"",IF(OR(ISBLANK(C75),ISBLANK(D75),ISBLANK(G75),ISBLANK(H75),ISBLANK(I75)),"Missing data",H75*VLOOKUP(I75,Ceilings!$J$4:$K$5,2,0)))</f>
        <v/>
      </c>
    </row>
    <row r="76" spans="1:10">
      <c r="A76" s="32"/>
      <c r="B76" s="33" t="str">
        <f>IF(ISBLANK(A76),"",VLOOKUP(A76,Management!$A$11:$C$25,2,0))</f>
        <v/>
      </c>
      <c r="C76" s="21"/>
      <c r="D76" s="22"/>
      <c r="E76" s="32"/>
      <c r="F76" s="34" t="str">
        <f>IF(OR(ISBLANK(E76),E76="Other"),"",VLOOKUP(E76,Management!$A$11:$B$25,2,0))</f>
        <v/>
      </c>
      <c r="G76" s="108"/>
      <c r="H76" s="23"/>
      <c r="I76" s="34"/>
      <c r="J76" s="218" t="str">
        <f>IF(ISBLANK(A76),"",IF(OR(ISBLANK(C76),ISBLANK(D76),ISBLANK(G76),ISBLANK(H76),ISBLANK(I76)),"Missing data",H76*VLOOKUP(I76,Ceilings!$J$4:$K$5,2,0)))</f>
        <v/>
      </c>
    </row>
    <row r="77" spans="1:10">
      <c r="A77" s="32"/>
      <c r="B77" s="33" t="str">
        <f>IF(ISBLANK(A77),"",VLOOKUP(A77,Management!$A$11:$C$25,2,0))</f>
        <v/>
      </c>
      <c r="C77" s="21"/>
      <c r="D77" s="22"/>
      <c r="E77" s="32"/>
      <c r="F77" s="34" t="str">
        <f>IF(OR(ISBLANK(E77),E77="Other"),"",VLOOKUP(E77,Management!$A$11:$B$25,2,0))</f>
        <v/>
      </c>
      <c r="G77" s="108"/>
      <c r="H77" s="23"/>
      <c r="I77" s="34"/>
      <c r="J77" s="218" t="str">
        <f>IF(ISBLANK(A77),"",IF(OR(ISBLANK(C77),ISBLANK(D77),ISBLANK(G77),ISBLANK(H77),ISBLANK(I77)),"Missing data",H77*VLOOKUP(I77,Ceilings!$J$4:$K$5,2,0)))</f>
        <v/>
      </c>
    </row>
    <row r="78" spans="1:10">
      <c r="A78" s="32"/>
      <c r="B78" s="33" t="str">
        <f>IF(ISBLANK(A78),"",VLOOKUP(A78,Management!$A$11:$C$25,2,0))</f>
        <v/>
      </c>
      <c r="C78" s="21"/>
      <c r="D78" s="22"/>
      <c r="E78" s="32"/>
      <c r="F78" s="34" t="str">
        <f>IF(OR(ISBLANK(E78),E78="Other"),"",VLOOKUP(E78,Management!$A$11:$B$25,2,0))</f>
        <v/>
      </c>
      <c r="G78" s="108"/>
      <c r="H78" s="23"/>
      <c r="I78" s="34"/>
      <c r="J78" s="218" t="str">
        <f>IF(ISBLANK(A78),"",IF(OR(ISBLANK(C78),ISBLANK(D78),ISBLANK(G78),ISBLANK(H78),ISBLANK(I78)),"Missing data",H78*VLOOKUP(I78,Ceilings!$J$4:$K$5,2,0)))</f>
        <v/>
      </c>
    </row>
    <row r="79" spans="1:10">
      <c r="A79" s="32"/>
      <c r="B79" s="33" t="str">
        <f>IF(ISBLANK(A79),"",VLOOKUP(A79,Management!$A$11:$C$25,2,0))</f>
        <v/>
      </c>
      <c r="C79" s="21"/>
      <c r="D79" s="22"/>
      <c r="E79" s="32"/>
      <c r="F79" s="34" t="str">
        <f>IF(OR(ISBLANK(E79),E79="Other"),"",VLOOKUP(E79,Management!$A$11:$B$25,2,0))</f>
        <v/>
      </c>
      <c r="G79" s="108"/>
      <c r="H79" s="23"/>
      <c r="I79" s="34"/>
      <c r="J79" s="218" t="str">
        <f>IF(ISBLANK(A79),"",IF(OR(ISBLANK(C79),ISBLANK(D79),ISBLANK(G79),ISBLANK(H79),ISBLANK(I79)),"Missing data",H79*VLOOKUP(I79,Ceilings!$J$4:$K$5,2,0)))</f>
        <v/>
      </c>
    </row>
    <row r="80" spans="1:10">
      <c r="A80" s="32"/>
      <c r="B80" s="33" t="str">
        <f>IF(ISBLANK(A80),"",VLOOKUP(A80,Management!$A$11:$C$25,2,0))</f>
        <v/>
      </c>
      <c r="C80" s="21"/>
      <c r="D80" s="22"/>
      <c r="E80" s="32"/>
      <c r="F80" s="34" t="str">
        <f>IF(OR(ISBLANK(E80),E80="Other"),"",VLOOKUP(E80,Management!$A$11:$B$25,2,0))</f>
        <v/>
      </c>
      <c r="G80" s="108"/>
      <c r="H80" s="23"/>
      <c r="I80" s="34"/>
      <c r="J80" s="218" t="str">
        <f>IF(ISBLANK(A80),"",IF(OR(ISBLANK(C80),ISBLANK(D80),ISBLANK(G80),ISBLANK(H80),ISBLANK(I80)),"Missing data",H80*VLOOKUP(I80,Ceilings!$J$4:$K$5,2,0)))</f>
        <v/>
      </c>
    </row>
    <row r="81" spans="1:10">
      <c r="A81" s="32"/>
      <c r="B81" s="33" t="str">
        <f>IF(ISBLANK(A81),"",VLOOKUP(A81,Management!$A$11:$C$25,2,0))</f>
        <v/>
      </c>
      <c r="C81" s="21"/>
      <c r="D81" s="22"/>
      <c r="E81" s="32"/>
      <c r="F81" s="34" t="str">
        <f>IF(OR(ISBLANK(E81),E81="Other"),"",VLOOKUP(E81,Management!$A$11:$B$25,2,0))</f>
        <v/>
      </c>
      <c r="G81" s="108"/>
      <c r="H81" s="23"/>
      <c r="I81" s="34"/>
      <c r="J81" s="218" t="str">
        <f>IF(ISBLANK(A81),"",IF(OR(ISBLANK(C81),ISBLANK(D81),ISBLANK(G81),ISBLANK(H81),ISBLANK(I81)),"Missing data",H81*VLOOKUP(I81,Ceilings!$J$4:$K$5,2,0)))</f>
        <v/>
      </c>
    </row>
    <row r="82" spans="1:10">
      <c r="A82" s="32"/>
      <c r="B82" s="33" t="str">
        <f>IF(ISBLANK(A82),"",VLOOKUP(A82,Management!$A$11:$C$25,2,0))</f>
        <v/>
      </c>
      <c r="C82" s="21"/>
      <c r="D82" s="22"/>
      <c r="E82" s="32"/>
      <c r="F82" s="34" t="str">
        <f>IF(OR(ISBLANK(E82),E82="Other"),"",VLOOKUP(E82,Management!$A$11:$B$25,2,0))</f>
        <v/>
      </c>
      <c r="G82" s="108"/>
      <c r="H82" s="23"/>
      <c r="I82" s="34"/>
      <c r="J82" s="218" t="str">
        <f>IF(ISBLANK(A82),"",IF(OR(ISBLANK(C82),ISBLANK(D82),ISBLANK(G82),ISBLANK(H82),ISBLANK(I82)),"Missing data",H82*VLOOKUP(I82,Ceilings!$J$4:$K$5,2,0)))</f>
        <v/>
      </c>
    </row>
    <row r="83" spans="1:10">
      <c r="A83" s="32"/>
      <c r="B83" s="33" t="str">
        <f>IF(ISBLANK(A83),"",VLOOKUP(A83,Management!$A$11:$C$25,2,0))</f>
        <v/>
      </c>
      <c r="C83" s="21"/>
      <c r="D83" s="22"/>
      <c r="E83" s="32"/>
      <c r="F83" s="34" t="str">
        <f>IF(OR(ISBLANK(E83),E83="Other"),"",VLOOKUP(E83,Management!$A$11:$B$25,2,0))</f>
        <v/>
      </c>
      <c r="G83" s="108"/>
      <c r="H83" s="23"/>
      <c r="I83" s="34"/>
      <c r="J83" s="218" t="str">
        <f>IF(ISBLANK(A83),"",IF(OR(ISBLANK(C83),ISBLANK(D83),ISBLANK(G83),ISBLANK(H83),ISBLANK(I83)),"Missing data",H83*VLOOKUP(I83,Ceilings!$J$4:$K$5,2,0)))</f>
        <v/>
      </c>
    </row>
    <row r="84" spans="1:10">
      <c r="A84" s="32"/>
      <c r="B84" s="33" t="str">
        <f>IF(ISBLANK(A84),"",VLOOKUP(A84,Management!$A$11:$C$25,2,0))</f>
        <v/>
      </c>
      <c r="C84" s="21"/>
      <c r="D84" s="22"/>
      <c r="E84" s="32"/>
      <c r="F84" s="34" t="str">
        <f>IF(OR(ISBLANK(E84),E84="Other"),"",VLOOKUP(E84,Management!$A$11:$B$25,2,0))</f>
        <v/>
      </c>
      <c r="G84" s="108"/>
      <c r="H84" s="23"/>
      <c r="I84" s="34"/>
      <c r="J84" s="218" t="str">
        <f>IF(ISBLANK(A84),"",IF(OR(ISBLANK(C84),ISBLANK(D84),ISBLANK(G84),ISBLANK(H84),ISBLANK(I84)),"Missing data",H84*VLOOKUP(I84,Ceilings!$J$4:$K$5,2,0)))</f>
        <v/>
      </c>
    </row>
    <row r="85" spans="1:10">
      <c r="A85" s="32"/>
      <c r="B85" s="33" t="str">
        <f>IF(ISBLANK(A85),"",VLOOKUP(A85,Management!$A$11:$C$25,2,0))</f>
        <v/>
      </c>
      <c r="C85" s="21"/>
      <c r="D85" s="22"/>
      <c r="E85" s="32"/>
      <c r="F85" s="34" t="str">
        <f>IF(OR(ISBLANK(E85),E85="Other"),"",VLOOKUP(E85,Management!$A$11:$B$25,2,0))</f>
        <v/>
      </c>
      <c r="G85" s="108"/>
      <c r="H85" s="23"/>
      <c r="I85" s="34"/>
      <c r="J85" s="218" t="str">
        <f>IF(ISBLANK(A85),"",IF(OR(ISBLANK(C85),ISBLANK(D85),ISBLANK(G85),ISBLANK(H85),ISBLANK(I85)),"Missing data",H85*VLOOKUP(I85,Ceilings!$J$4:$K$5,2,0)))</f>
        <v/>
      </c>
    </row>
    <row r="86" spans="1:10">
      <c r="A86" s="32"/>
      <c r="B86" s="33" t="str">
        <f>IF(ISBLANK(A86),"",VLOOKUP(A86,Management!$A$11:$C$25,2,0))</f>
        <v/>
      </c>
      <c r="C86" s="21"/>
      <c r="D86" s="22"/>
      <c r="E86" s="32"/>
      <c r="F86" s="34" t="str">
        <f>IF(OR(ISBLANK(E86),E86="Other"),"",VLOOKUP(E86,Management!$A$11:$B$25,2,0))</f>
        <v/>
      </c>
      <c r="G86" s="108"/>
      <c r="H86" s="23"/>
      <c r="I86" s="34"/>
      <c r="J86" s="218" t="str">
        <f>IF(ISBLANK(A86),"",IF(OR(ISBLANK(C86),ISBLANK(D86),ISBLANK(G86),ISBLANK(H86),ISBLANK(I86)),"Missing data",H86*VLOOKUP(I86,Ceilings!$J$4:$K$5,2,0)))</f>
        <v/>
      </c>
    </row>
    <row r="87" spans="1:10">
      <c r="A87" s="32"/>
      <c r="B87" s="33" t="str">
        <f>IF(ISBLANK(A87),"",VLOOKUP(A87,Management!$A$11:$C$25,2,0))</f>
        <v/>
      </c>
      <c r="C87" s="21"/>
      <c r="D87" s="22"/>
      <c r="E87" s="32"/>
      <c r="F87" s="34" t="str">
        <f>IF(OR(ISBLANK(E87),E87="Other"),"",VLOOKUP(E87,Management!$A$11:$B$25,2,0))</f>
        <v/>
      </c>
      <c r="G87" s="108"/>
      <c r="H87" s="23"/>
      <c r="I87" s="34"/>
      <c r="J87" s="218" t="str">
        <f>IF(ISBLANK(A87),"",IF(OR(ISBLANK(C87),ISBLANK(D87),ISBLANK(G87),ISBLANK(H87),ISBLANK(I87)),"Missing data",H87*VLOOKUP(I87,Ceilings!$J$4:$K$5,2,0)))</f>
        <v/>
      </c>
    </row>
    <row r="88" spans="1:10">
      <c r="A88" s="32"/>
      <c r="B88" s="33" t="str">
        <f>IF(ISBLANK(A88),"",VLOOKUP(A88,Management!$A$11:$C$25,2,0))</f>
        <v/>
      </c>
      <c r="C88" s="21"/>
      <c r="D88" s="22"/>
      <c r="E88" s="32"/>
      <c r="F88" s="34" t="str">
        <f>IF(OR(ISBLANK(E88),E88="Other"),"",VLOOKUP(E88,Management!$A$11:$B$25,2,0))</f>
        <v/>
      </c>
      <c r="G88" s="108"/>
      <c r="H88" s="23"/>
      <c r="I88" s="34"/>
      <c r="J88" s="218" t="str">
        <f>IF(ISBLANK(A88),"",IF(OR(ISBLANK(C88),ISBLANK(D88),ISBLANK(G88),ISBLANK(H88),ISBLANK(I88)),"Missing data",H88*VLOOKUP(I88,Ceilings!$J$4:$K$5,2,0)))</f>
        <v/>
      </c>
    </row>
    <row r="89" spans="1:10">
      <c r="A89" s="32"/>
      <c r="B89" s="33" t="str">
        <f>IF(ISBLANK(A89),"",VLOOKUP(A89,Management!$A$11:$C$25,2,0))</f>
        <v/>
      </c>
      <c r="C89" s="21"/>
      <c r="D89" s="22"/>
      <c r="E89" s="32"/>
      <c r="F89" s="34" t="str">
        <f>IF(OR(ISBLANK(E89),E89="Other"),"",VLOOKUP(E89,Management!$A$11:$B$25,2,0))</f>
        <v/>
      </c>
      <c r="G89" s="108"/>
      <c r="H89" s="23"/>
      <c r="I89" s="34"/>
      <c r="J89" s="218" t="str">
        <f>IF(ISBLANK(A89),"",IF(OR(ISBLANK(C89),ISBLANK(D89),ISBLANK(G89),ISBLANK(H89),ISBLANK(I89)),"Missing data",H89*VLOOKUP(I89,Ceilings!$J$4:$K$5,2,0)))</f>
        <v/>
      </c>
    </row>
    <row r="90" spans="1:10">
      <c r="A90" s="32"/>
      <c r="B90" s="33" t="str">
        <f>IF(ISBLANK(A90),"",VLOOKUP(A90,Management!$A$11:$C$25,2,0))</f>
        <v/>
      </c>
      <c r="C90" s="21"/>
      <c r="D90" s="22"/>
      <c r="E90" s="32"/>
      <c r="F90" s="34" t="str">
        <f>IF(OR(ISBLANK(E90),E90="Other"),"",VLOOKUP(E90,Management!$A$11:$B$25,2,0))</f>
        <v/>
      </c>
      <c r="G90" s="108"/>
      <c r="H90" s="23"/>
      <c r="I90" s="34"/>
      <c r="J90" s="218" t="str">
        <f>IF(ISBLANK(A90),"",IF(OR(ISBLANK(C90),ISBLANK(D90),ISBLANK(G90),ISBLANK(H90),ISBLANK(I90)),"Missing data",H90*VLOOKUP(I90,Ceilings!$J$4:$K$5,2,0)))</f>
        <v/>
      </c>
    </row>
    <row r="91" spans="1:10">
      <c r="A91" s="32"/>
      <c r="B91" s="33" t="str">
        <f>IF(ISBLANK(A91),"",VLOOKUP(A91,Management!$A$11:$C$25,2,0))</f>
        <v/>
      </c>
      <c r="C91" s="21"/>
      <c r="D91" s="22"/>
      <c r="E91" s="32"/>
      <c r="F91" s="34" t="str">
        <f>IF(OR(ISBLANK(E91),E91="Other"),"",VLOOKUP(E91,Management!$A$11:$B$25,2,0))</f>
        <v/>
      </c>
      <c r="G91" s="108"/>
      <c r="H91" s="23"/>
      <c r="I91" s="34"/>
      <c r="J91" s="218" t="str">
        <f>IF(ISBLANK(A91),"",IF(OR(ISBLANK(C91),ISBLANK(D91),ISBLANK(G91),ISBLANK(H91),ISBLANK(I91)),"Missing data",H91*VLOOKUP(I91,Ceilings!$J$4:$K$5,2,0)))</f>
        <v/>
      </c>
    </row>
    <row r="92" spans="1:10">
      <c r="A92" s="32"/>
      <c r="B92" s="33" t="str">
        <f>IF(ISBLANK(A92),"",VLOOKUP(A92,Management!$A$11:$C$25,2,0))</f>
        <v/>
      </c>
      <c r="C92" s="21"/>
      <c r="D92" s="22"/>
      <c r="E92" s="32"/>
      <c r="F92" s="34" t="str">
        <f>IF(OR(ISBLANK(E92),E92="Other"),"",VLOOKUP(E92,Management!$A$11:$B$25,2,0))</f>
        <v/>
      </c>
      <c r="G92" s="108"/>
      <c r="H92" s="23"/>
      <c r="I92" s="34"/>
      <c r="J92" s="218" t="str">
        <f>IF(ISBLANK(A92),"",IF(OR(ISBLANK(C92),ISBLANK(D92),ISBLANK(G92),ISBLANK(H92),ISBLANK(I92)),"Missing data",H92*VLOOKUP(I92,Ceilings!$J$4:$K$5,2,0)))</f>
        <v/>
      </c>
    </row>
    <row r="93" spans="1:10">
      <c r="A93" s="32"/>
      <c r="B93" s="33" t="str">
        <f>IF(ISBLANK(A93),"",VLOOKUP(A93,Management!$A$11:$C$25,2,0))</f>
        <v/>
      </c>
      <c r="C93" s="21"/>
      <c r="D93" s="22"/>
      <c r="E93" s="32"/>
      <c r="F93" s="34" t="str">
        <f>IF(OR(ISBLANK(E93),E93="Other"),"",VLOOKUP(E93,Management!$A$11:$B$25,2,0))</f>
        <v/>
      </c>
      <c r="G93" s="108"/>
      <c r="H93" s="23"/>
      <c r="I93" s="34"/>
      <c r="J93" s="218" t="str">
        <f>IF(ISBLANK(A93),"",IF(OR(ISBLANK(C93),ISBLANK(D93),ISBLANK(G93),ISBLANK(H93),ISBLANK(I93)),"Missing data",H93*VLOOKUP(I93,Ceilings!$J$4:$K$5,2,0)))</f>
        <v/>
      </c>
    </row>
    <row r="94" spans="1:10">
      <c r="A94" s="32"/>
      <c r="B94" s="33" t="str">
        <f>IF(ISBLANK(A94),"",VLOOKUP(A94,Management!$A$11:$C$25,2,0))</f>
        <v/>
      </c>
      <c r="C94" s="21"/>
      <c r="D94" s="22"/>
      <c r="E94" s="32"/>
      <c r="F94" s="34" t="str">
        <f>IF(OR(ISBLANK(E94),E94="Other"),"",VLOOKUP(E94,Management!$A$11:$B$25,2,0))</f>
        <v/>
      </c>
      <c r="G94" s="108"/>
      <c r="H94" s="23"/>
      <c r="I94" s="34"/>
      <c r="J94" s="218" t="str">
        <f>IF(ISBLANK(A94),"",IF(OR(ISBLANK(C94),ISBLANK(D94),ISBLANK(G94),ISBLANK(H94),ISBLANK(I94)),"Missing data",H94*VLOOKUP(I94,Ceilings!$J$4:$K$5,2,0)))</f>
        <v/>
      </c>
    </row>
    <row r="95" spans="1:10">
      <c r="A95" s="32"/>
      <c r="B95" s="33" t="str">
        <f>IF(ISBLANK(A95),"",VLOOKUP(A95,Management!$A$11:$C$25,2,0))</f>
        <v/>
      </c>
      <c r="C95" s="21"/>
      <c r="D95" s="22"/>
      <c r="E95" s="32"/>
      <c r="F95" s="34" t="str">
        <f>IF(OR(ISBLANK(E95),E95="Other"),"",VLOOKUP(E95,Management!$A$11:$B$25,2,0))</f>
        <v/>
      </c>
      <c r="G95" s="108"/>
      <c r="H95" s="23"/>
      <c r="I95" s="34"/>
      <c r="J95" s="218" t="str">
        <f>IF(ISBLANK(A95),"",IF(OR(ISBLANK(C95),ISBLANK(D95),ISBLANK(G95),ISBLANK(H95),ISBLANK(I95)),"Missing data",H95*VLOOKUP(I95,Ceilings!$J$4:$K$5,2,0)))</f>
        <v/>
      </c>
    </row>
    <row r="96" spans="1:10">
      <c r="A96" s="32"/>
      <c r="B96" s="33" t="str">
        <f>IF(ISBLANK(A96),"",VLOOKUP(A96,Management!$A$11:$C$25,2,0))</f>
        <v/>
      </c>
      <c r="C96" s="21"/>
      <c r="D96" s="22"/>
      <c r="E96" s="32"/>
      <c r="F96" s="34" t="str">
        <f>IF(OR(ISBLANK(E96),E96="Other"),"",VLOOKUP(E96,Management!$A$11:$B$25,2,0))</f>
        <v/>
      </c>
      <c r="G96" s="108"/>
      <c r="H96" s="23"/>
      <c r="I96" s="34"/>
      <c r="J96" s="218" t="str">
        <f>IF(ISBLANK(A96),"",IF(OR(ISBLANK(C96),ISBLANK(D96),ISBLANK(G96),ISBLANK(H96),ISBLANK(I96)),"Missing data",H96*VLOOKUP(I96,Ceilings!$J$4:$K$5,2,0)))</f>
        <v/>
      </c>
    </row>
    <row r="97" spans="1:10">
      <c r="A97" s="32"/>
      <c r="B97" s="33" t="str">
        <f>IF(ISBLANK(A97),"",VLOOKUP(A97,Management!$A$11:$C$25,2,0))</f>
        <v/>
      </c>
      <c r="C97" s="21"/>
      <c r="D97" s="22"/>
      <c r="E97" s="32"/>
      <c r="F97" s="34" t="str">
        <f>IF(OR(ISBLANK(E97),E97="Other"),"",VLOOKUP(E97,Management!$A$11:$B$25,2,0))</f>
        <v/>
      </c>
      <c r="G97" s="108"/>
      <c r="H97" s="23"/>
      <c r="I97" s="34"/>
      <c r="J97" s="218" t="str">
        <f>IF(ISBLANK(A97),"",IF(OR(ISBLANK(C97),ISBLANK(D97),ISBLANK(G97),ISBLANK(H97),ISBLANK(I97)),"Missing data",H97*VLOOKUP(I97,Ceilings!$J$4:$K$5,2,0)))</f>
        <v/>
      </c>
    </row>
    <row r="98" spans="1:10">
      <c r="A98" s="32"/>
      <c r="B98" s="33" t="str">
        <f>IF(ISBLANK(A98),"",VLOOKUP(A98,Management!$A$11:$C$25,2,0))</f>
        <v/>
      </c>
      <c r="C98" s="21"/>
      <c r="D98" s="22"/>
      <c r="E98" s="32"/>
      <c r="F98" s="34" t="str">
        <f>IF(OR(ISBLANK(E98),E98="Other"),"",VLOOKUP(E98,Management!$A$11:$B$25,2,0))</f>
        <v/>
      </c>
      <c r="G98" s="108"/>
      <c r="H98" s="23"/>
      <c r="I98" s="34"/>
      <c r="J98" s="218" t="str">
        <f>IF(ISBLANK(A98),"",IF(OR(ISBLANK(C98),ISBLANK(D98),ISBLANK(G98),ISBLANK(H98),ISBLANK(I98)),"Missing data",H98*VLOOKUP(I98,Ceilings!$J$4:$K$5,2,0)))</f>
        <v/>
      </c>
    </row>
    <row r="99" spans="1:10">
      <c r="A99" s="32"/>
      <c r="B99" s="33" t="str">
        <f>IF(ISBLANK(A99),"",VLOOKUP(A99,Management!$A$11:$C$25,2,0))</f>
        <v/>
      </c>
      <c r="C99" s="21"/>
      <c r="D99" s="22"/>
      <c r="E99" s="32"/>
      <c r="F99" s="34" t="str">
        <f>IF(OR(ISBLANK(E99),E99="Other"),"",VLOOKUP(E99,Management!$A$11:$B$25,2,0))</f>
        <v/>
      </c>
      <c r="G99" s="108"/>
      <c r="H99" s="23"/>
      <c r="I99" s="34"/>
      <c r="J99" s="218" t="str">
        <f>IF(ISBLANK(A99),"",IF(OR(ISBLANK(C99),ISBLANK(D99),ISBLANK(G99),ISBLANK(H99),ISBLANK(I99)),"Missing data",H99*VLOOKUP(I99,Ceilings!$J$4:$K$5,2,0)))</f>
        <v/>
      </c>
    </row>
    <row r="100" spans="1:10">
      <c r="A100" s="32"/>
      <c r="B100" s="33" t="str">
        <f>IF(ISBLANK(A100),"",VLOOKUP(A100,Management!$A$11:$C$25,2,0))</f>
        <v/>
      </c>
      <c r="C100" s="21"/>
      <c r="D100" s="22"/>
      <c r="E100" s="32"/>
      <c r="F100" s="34" t="str">
        <f>IF(OR(ISBLANK(E100),E100="Other"),"",VLOOKUP(E100,Management!$A$11:$B$25,2,0))</f>
        <v/>
      </c>
      <c r="G100" s="108"/>
      <c r="H100" s="23"/>
      <c r="I100" s="34"/>
      <c r="J100" s="218" t="str">
        <f>IF(ISBLANK(A100),"",IF(OR(ISBLANK(C100),ISBLANK(D100),ISBLANK(G100),ISBLANK(H100),ISBLANK(I100)),"Missing data",H100*VLOOKUP(I100,Ceilings!$J$4:$K$5,2,0)))</f>
        <v/>
      </c>
    </row>
    <row r="101" spans="1:10">
      <c r="A101" s="32"/>
      <c r="B101" s="33" t="str">
        <f>IF(ISBLANK(A101),"",VLOOKUP(A101,Management!$A$11:$C$25,2,0))</f>
        <v/>
      </c>
      <c r="C101" s="21"/>
      <c r="D101" s="22"/>
      <c r="E101" s="32"/>
      <c r="F101" s="34" t="str">
        <f>IF(OR(ISBLANK(E101),E101="Other"),"",VLOOKUP(E101,Management!$A$11:$B$25,2,0))</f>
        <v/>
      </c>
      <c r="G101" s="108"/>
      <c r="H101" s="23"/>
      <c r="I101" s="34"/>
      <c r="J101" s="218" t="str">
        <f>IF(ISBLANK(A101),"",IF(OR(ISBLANK(C101),ISBLANK(D101),ISBLANK(G101),ISBLANK(H101),ISBLANK(I101)),"Missing data",H101*VLOOKUP(I101,Ceilings!$J$4:$K$5,2,0)))</f>
        <v/>
      </c>
    </row>
    <row r="102" spans="1:10">
      <c r="A102" s="32"/>
      <c r="B102" s="33" t="str">
        <f>IF(ISBLANK(A102),"",VLOOKUP(A102,Management!$A$11:$C$25,2,0))</f>
        <v/>
      </c>
      <c r="C102" s="21"/>
      <c r="D102" s="22"/>
      <c r="E102" s="32"/>
      <c r="F102" s="34" t="str">
        <f>IF(OR(ISBLANK(E102),E102="Other"),"",VLOOKUP(E102,Management!$A$11:$B$25,2,0))</f>
        <v/>
      </c>
      <c r="G102" s="108"/>
      <c r="H102" s="23"/>
      <c r="I102" s="34"/>
      <c r="J102" s="218" t="str">
        <f>IF(ISBLANK(A102),"",IF(OR(ISBLANK(C102),ISBLANK(D102),ISBLANK(G102),ISBLANK(H102),ISBLANK(I102)),"Missing data",H102*VLOOKUP(I102,Ceilings!$J$4:$K$5,2,0)))</f>
        <v/>
      </c>
    </row>
    <row r="103" spans="1:10">
      <c r="A103" s="32"/>
      <c r="B103" s="33" t="str">
        <f>IF(ISBLANK(A103),"",VLOOKUP(A103,Management!$A$11:$C$25,2,0))</f>
        <v/>
      </c>
      <c r="C103" s="21"/>
      <c r="D103" s="22"/>
      <c r="E103" s="32"/>
      <c r="F103" s="34" t="str">
        <f>IF(OR(ISBLANK(E103),E103="Other"),"",VLOOKUP(E103,Management!$A$11:$B$25,2,0))</f>
        <v/>
      </c>
      <c r="G103" s="108"/>
      <c r="H103" s="23"/>
      <c r="I103" s="34"/>
      <c r="J103" s="218" t="str">
        <f>IF(ISBLANK(A103),"",IF(OR(ISBLANK(C103),ISBLANK(D103),ISBLANK(G103),ISBLANK(H103),ISBLANK(I103)),"Missing data",H103*VLOOKUP(I103,Ceilings!$J$4:$K$5,2,0)))</f>
        <v/>
      </c>
    </row>
    <row r="104" spans="1:10">
      <c r="A104" s="32"/>
      <c r="B104" s="33" t="str">
        <f>IF(ISBLANK(A104),"",VLOOKUP(A104,Management!$A$11:$C$25,2,0))</f>
        <v/>
      </c>
      <c r="C104" s="21"/>
      <c r="D104" s="22"/>
      <c r="E104" s="32"/>
      <c r="F104" s="34" t="str">
        <f>IF(OR(ISBLANK(E104),E104="Other"),"",VLOOKUP(E104,Management!$A$11:$B$25,2,0))</f>
        <v/>
      </c>
      <c r="G104" s="108"/>
      <c r="H104" s="23"/>
      <c r="I104" s="34"/>
      <c r="J104" s="218" t="str">
        <f>IF(ISBLANK(A104),"",IF(OR(ISBLANK(C104),ISBLANK(D104),ISBLANK(G104),ISBLANK(H104),ISBLANK(I104)),"Missing data",H104*VLOOKUP(I104,Ceilings!$J$4:$K$5,2,0)))</f>
        <v/>
      </c>
    </row>
    <row r="105" spans="1:10">
      <c r="A105" s="32"/>
      <c r="B105" s="33" t="str">
        <f>IF(ISBLANK(A105),"",VLOOKUP(A105,Management!$A$11:$C$25,2,0))</f>
        <v/>
      </c>
      <c r="C105" s="21"/>
      <c r="D105" s="22"/>
      <c r="E105" s="32"/>
      <c r="F105" s="34" t="str">
        <f>IF(OR(ISBLANK(E105),E105="Other"),"",VLOOKUP(E105,Management!$A$11:$B$25,2,0))</f>
        <v/>
      </c>
      <c r="G105" s="108"/>
      <c r="H105" s="23"/>
      <c r="I105" s="34"/>
      <c r="J105" s="218" t="str">
        <f>IF(ISBLANK(A105),"",IF(OR(ISBLANK(C105),ISBLANK(D105),ISBLANK(G105),ISBLANK(H105),ISBLANK(I105)),"Missing data",H105*VLOOKUP(I105,Ceilings!$J$4:$K$5,2,0)))</f>
        <v/>
      </c>
    </row>
    <row r="106" spans="1:10">
      <c r="A106" s="32"/>
      <c r="B106" s="33" t="str">
        <f>IF(ISBLANK(A106),"",VLOOKUP(A106,Management!$A$11:$C$25,2,0))</f>
        <v/>
      </c>
      <c r="C106" s="21"/>
      <c r="D106" s="22"/>
      <c r="E106" s="32"/>
      <c r="F106" s="34" t="str">
        <f>IF(OR(ISBLANK(E106),E106="Other"),"",VLOOKUP(E106,Management!$A$11:$B$25,2,0))</f>
        <v/>
      </c>
      <c r="G106" s="108"/>
      <c r="H106" s="23"/>
      <c r="I106" s="34"/>
      <c r="J106" s="218" t="str">
        <f>IF(ISBLANK(A106),"",IF(OR(ISBLANK(C106),ISBLANK(D106),ISBLANK(G106),ISBLANK(H106),ISBLANK(I106)),"Missing data",H106*VLOOKUP(I106,Ceilings!$J$4:$K$5,2,0)))</f>
        <v/>
      </c>
    </row>
    <row r="107" spans="1:10">
      <c r="A107" s="32"/>
      <c r="B107" s="33" t="str">
        <f>IF(ISBLANK(A107),"",VLOOKUP(A107,Management!$A$11:$C$25,2,0))</f>
        <v/>
      </c>
      <c r="C107" s="21"/>
      <c r="D107" s="22"/>
      <c r="E107" s="32"/>
      <c r="F107" s="34" t="str">
        <f>IF(OR(ISBLANK(E107),E107="Other"),"",VLOOKUP(E107,Management!$A$11:$B$25,2,0))</f>
        <v/>
      </c>
      <c r="G107" s="108"/>
      <c r="H107" s="23"/>
      <c r="I107" s="34"/>
      <c r="J107" s="218" t="str">
        <f>IF(ISBLANK(A107),"",IF(OR(ISBLANK(C107),ISBLANK(D107),ISBLANK(G107),ISBLANK(H107),ISBLANK(I107)),"Missing data",H107*VLOOKUP(I107,Ceilings!$J$4:$K$5,2,0)))</f>
        <v/>
      </c>
    </row>
    <row r="108" spans="1:10" ht="13.5" thickBot="1">
      <c r="A108" s="35"/>
      <c r="B108" s="36" t="str">
        <f>IF(ISBLANK(A108),"",VLOOKUP(A108,Management!$A$11:$C$25,2,0))</f>
        <v/>
      </c>
      <c r="C108" s="25"/>
      <c r="D108" s="26"/>
      <c r="E108" s="35"/>
      <c r="F108" s="37" t="str">
        <f>IF(OR(ISBLANK(E108),E108="Other"),"",VLOOKUP(E108,Management!$A$11:$B$25,2,0))</f>
        <v/>
      </c>
      <c r="G108" s="109"/>
      <c r="H108" s="27"/>
      <c r="I108" s="37"/>
      <c r="J108" s="219" t="str">
        <f>IF(ISBLANK(A108),"",IF(OR(ISBLANK(C108),ISBLANK(D108),ISBLANK(G108),ISBLANK(H108),ISBLANK(I108)),"Missing data",H108*VLOOKUP(I108,Ceilings!$J$4:$K$5,2,0)))</f>
        <v/>
      </c>
    </row>
    <row r="110" spans="1:10">
      <c r="A110" s="38"/>
      <c r="E110" s="38"/>
    </row>
  </sheetData>
  <sheetProtection password="CBC2" sheet="1" objects="1" scenarios="1" sort="0" autoFilter="0"/>
  <mergeCells count="9">
    <mergeCell ref="A4:A5"/>
    <mergeCell ref="D4:D5"/>
    <mergeCell ref="C4:C5"/>
    <mergeCell ref="E4:F4"/>
    <mergeCell ref="J4:J5"/>
    <mergeCell ref="I4:I5"/>
    <mergeCell ref="H4:H5"/>
    <mergeCell ref="B4:B5"/>
    <mergeCell ref="G4:G5"/>
  </mergeCells>
  <phoneticPr fontId="7" type="noConversion"/>
  <conditionalFormatting sqref="J6">
    <cfRule type="expression" dxfId="19" priority="1" stopIfTrue="1">
      <formula>K6&lt;&gt;""</formula>
    </cfRule>
  </conditionalFormatting>
  <dataValidations disablePrompts="1" count="4">
    <dataValidation type="date" allowBlank="1" showInputMessage="1" showErrorMessage="1" error="Out of project time frame" sqref="G7:G108">
      <formula1>Start</formula1>
      <formula2>End</formula2>
    </dataValidation>
    <dataValidation type="list" allowBlank="1" showInputMessage="1" showErrorMessage="1" sqref="A7:A108">
      <formula1>Partners</formula1>
    </dataValidation>
    <dataValidation type="list" allowBlank="1" showInputMessage="1" showErrorMessage="1" sqref="E7:E108">
      <formula1>Partners1</formula1>
    </dataValidation>
    <dataValidation type="list" allowBlank="1" showInputMessage="1" showErrorMessage="1" sqref="F7:F108">
      <formula1>IF(E7="Other",EUint,Semmi)</formula1>
    </dataValidation>
  </dataValidations>
  <printOptions horizontalCentered="1"/>
  <pageMargins left="0.35433070866141736" right="0.35729166666666667" top="0.59055118110236227" bottom="0.59055118110236227" header="0.31496062992125984" footer="0.31496062992125984"/>
  <pageSetup paperSize="9" scale="91" fitToHeight="0" orientation="landscape" horizontalDpi="4294967292" verticalDpi="4294967292" r:id="rId1"/>
  <headerFooter>
    <oddHeader>&amp;C&amp;11 2017. E+ KA202&amp;RVersion: 2017.02.16. - TKA</oddHeader>
    <oddFooter>&amp;C&amp;"Arial,Félkövér"&amp;A&amp;R&amp;P. oldal</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Ceilings!$J$4:$J$5</xm:f>
          </x14:formula1>
          <xm:sqref>I7:I108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Q111"/>
  <sheetViews>
    <sheetView zoomScale="90" zoomScaleNormal="90" zoomScaleSheetLayoutView="70" zoomScalePageLayoutView="90" workbookViewId="0">
      <selection activeCell="A8" sqref="A8"/>
    </sheetView>
  </sheetViews>
  <sheetFormatPr defaultColWidth="8.85546875" defaultRowHeight="12.75"/>
  <cols>
    <col min="1" max="1" width="16.42578125" style="74" customWidth="1"/>
    <col min="2" max="2" width="15.28515625" style="75" customWidth="1"/>
    <col min="3" max="3" width="27.7109375" style="75" customWidth="1"/>
    <col min="4" max="4" width="9.85546875" style="75" customWidth="1"/>
    <col min="5" max="5" width="10.28515625" style="75" customWidth="1"/>
    <col min="6" max="6" width="11.85546875" style="75" customWidth="1"/>
    <col min="7" max="7" width="8.140625" style="75" bestFit="1" customWidth="1"/>
    <col min="8" max="8" width="10.140625" style="75" customWidth="1"/>
    <col min="9" max="9" width="11.42578125" style="75" customWidth="1"/>
    <col min="10" max="10" width="8.140625" style="75" customWidth="1"/>
    <col min="11" max="11" width="10.7109375" style="75" customWidth="1"/>
    <col min="12" max="12" width="10.140625" style="75" customWidth="1"/>
    <col min="13" max="13" width="7.85546875" style="75" customWidth="1"/>
    <col min="14" max="14" width="10.42578125" style="75" customWidth="1"/>
    <col min="15" max="15" width="11.85546875" style="75" customWidth="1"/>
    <col min="16" max="16" width="8.28515625" style="75" customWidth="1"/>
    <col min="17" max="17" width="10.42578125" style="75" customWidth="1"/>
    <col min="18" max="25" width="15.85546875" style="75" customWidth="1"/>
    <col min="26" max="16384" width="8.85546875" style="75"/>
  </cols>
  <sheetData>
    <row r="1" spans="1:17" s="282" customFormat="1" ht="15.75">
      <c r="A1" s="188" t="s">
        <v>100</v>
      </c>
      <c r="B1" s="189"/>
      <c r="C1" s="189"/>
      <c r="D1" s="281"/>
      <c r="E1" s="281"/>
      <c r="F1" s="281"/>
      <c r="G1" s="281"/>
      <c r="H1" s="281"/>
      <c r="I1" s="281"/>
      <c r="J1" s="281"/>
      <c r="K1" s="281"/>
      <c r="L1" s="281"/>
      <c r="M1" s="281"/>
      <c r="N1" s="281"/>
      <c r="O1" s="281"/>
      <c r="P1" s="281"/>
      <c r="Q1" s="281"/>
    </row>
    <row r="2" spans="1:17" s="282" customFormat="1" ht="16.5" thickBot="1">
      <c r="A2" s="190" t="s">
        <v>0</v>
      </c>
      <c r="B2" s="191"/>
      <c r="C2" s="191"/>
      <c r="D2" s="281"/>
      <c r="E2" s="281"/>
      <c r="F2" s="172"/>
      <c r="G2" s="173"/>
      <c r="H2" s="173"/>
      <c r="I2" s="173"/>
      <c r="J2" s="173"/>
      <c r="K2" s="173"/>
      <c r="L2" s="173"/>
      <c r="M2" s="173"/>
      <c r="N2" s="173"/>
      <c r="O2" s="173"/>
      <c r="P2" s="173"/>
      <c r="Q2" s="173"/>
    </row>
    <row r="3" spans="1:17" s="330" customFormat="1" ht="13.5" thickBot="1">
      <c r="A3" s="328" t="s">
        <v>1</v>
      </c>
      <c r="B3" s="329"/>
      <c r="C3" s="329"/>
      <c r="D3" s="283"/>
      <c r="E3" s="283"/>
      <c r="F3" s="530" t="s">
        <v>36</v>
      </c>
      <c r="G3" s="531"/>
      <c r="H3" s="531"/>
      <c r="I3" s="531"/>
      <c r="J3" s="531"/>
      <c r="K3" s="531"/>
      <c r="L3" s="531"/>
      <c r="M3" s="531"/>
      <c r="N3" s="531"/>
      <c r="O3" s="531"/>
      <c r="P3" s="531"/>
      <c r="Q3" s="532"/>
    </row>
    <row r="4" spans="1:17" s="83" customFormat="1" ht="24.75" customHeight="1">
      <c r="A4" s="536" t="s">
        <v>483</v>
      </c>
      <c r="B4" s="538" t="s">
        <v>32</v>
      </c>
      <c r="C4" s="540" t="s">
        <v>411</v>
      </c>
      <c r="D4" s="536" t="s">
        <v>37</v>
      </c>
      <c r="E4" s="536" t="s">
        <v>137</v>
      </c>
      <c r="F4" s="533" t="s">
        <v>34</v>
      </c>
      <c r="G4" s="534"/>
      <c r="H4" s="534"/>
      <c r="I4" s="534" t="s">
        <v>449</v>
      </c>
      <c r="J4" s="534"/>
      <c r="K4" s="534"/>
      <c r="L4" s="534" t="s">
        <v>3</v>
      </c>
      <c r="M4" s="534"/>
      <c r="N4" s="534"/>
      <c r="O4" s="534" t="s">
        <v>4</v>
      </c>
      <c r="P4" s="534"/>
      <c r="Q4" s="535"/>
    </row>
    <row r="5" spans="1:17" s="83" customFormat="1" ht="39" thickBot="1">
      <c r="A5" s="537"/>
      <c r="B5" s="539"/>
      <c r="C5" s="541"/>
      <c r="D5" s="537"/>
      <c r="E5" s="537"/>
      <c r="F5" s="284" t="s">
        <v>118</v>
      </c>
      <c r="G5" s="285" t="s">
        <v>33</v>
      </c>
      <c r="H5" s="286" t="s">
        <v>101</v>
      </c>
      <c r="I5" s="286" t="s">
        <v>118</v>
      </c>
      <c r="J5" s="285" t="s">
        <v>33</v>
      </c>
      <c r="K5" s="286" t="s">
        <v>101</v>
      </c>
      <c r="L5" s="286" t="s">
        <v>118</v>
      </c>
      <c r="M5" s="285" t="s">
        <v>33</v>
      </c>
      <c r="N5" s="286" t="s">
        <v>101</v>
      </c>
      <c r="O5" s="286" t="s">
        <v>118</v>
      </c>
      <c r="P5" s="285" t="s">
        <v>33</v>
      </c>
      <c r="Q5" s="287" t="s">
        <v>101</v>
      </c>
    </row>
    <row r="6" spans="1:17">
      <c r="A6" s="288"/>
      <c r="B6" s="289"/>
      <c r="C6" s="290" t="s">
        <v>317</v>
      </c>
      <c r="D6" s="221">
        <f>SUM(D8:D109)</f>
        <v>0</v>
      </c>
      <c r="E6" s="291"/>
      <c r="F6" s="231">
        <f>SUM(F8:F109)</f>
        <v>0</v>
      </c>
      <c r="G6" s="292"/>
      <c r="H6" s="292"/>
      <c r="I6" s="293">
        <f>SUM(I8:I109)</f>
        <v>0</v>
      </c>
      <c r="J6" s="292"/>
      <c r="K6" s="292"/>
      <c r="L6" s="293">
        <f>SUM(L8:L109)</f>
        <v>0</v>
      </c>
      <c r="M6" s="292"/>
      <c r="N6" s="292"/>
      <c r="O6" s="293">
        <f>SUM(O8:O109)</f>
        <v>0</v>
      </c>
      <c r="P6" s="292"/>
      <c r="Q6" s="294"/>
    </row>
    <row r="7" spans="1:17" s="304" customFormat="1" ht="13.5" thickBot="1">
      <c r="A7" s="295"/>
      <c r="B7" s="296"/>
      <c r="C7" s="297" t="s">
        <v>318</v>
      </c>
      <c r="D7" s="298"/>
      <c r="E7" s="299">
        <f>SUM(E8:E109)</f>
        <v>0</v>
      </c>
      <c r="F7" s="300"/>
      <c r="G7" s="301"/>
      <c r="H7" s="302">
        <f>SUM(H8:H81)</f>
        <v>0</v>
      </c>
      <c r="I7" s="301"/>
      <c r="J7" s="301"/>
      <c r="K7" s="302">
        <f>SUM(K8:K81)</f>
        <v>0</v>
      </c>
      <c r="L7" s="301"/>
      <c r="M7" s="301"/>
      <c r="N7" s="302">
        <f>SUM(N8:N81)</f>
        <v>0</v>
      </c>
      <c r="O7" s="301"/>
      <c r="P7" s="301"/>
      <c r="Q7" s="303">
        <f>SUM(Q8:Q81)</f>
        <v>0</v>
      </c>
    </row>
    <row r="8" spans="1:17">
      <c r="A8" s="305"/>
      <c r="B8" s="306" t="str">
        <f>IF(ISBLANK(A8),"",VLOOKUP(A8,Management!$A$11:$C$25,2,0))</f>
        <v/>
      </c>
      <c r="C8" s="307"/>
      <c r="D8" s="221" t="str">
        <f>IF(ISBLANK(A8),"",SUM(F8,I8,L8,O8))</f>
        <v/>
      </c>
      <c r="E8" s="308" t="str">
        <f>IF(ISBLANK(A8),"",IF(ISBLANK(C8),"Missing data",SUM(H8,K8,N8,Q8)))</f>
        <v/>
      </c>
      <c r="F8" s="309"/>
      <c r="G8" s="310" t="str">
        <f>IF(ISBLANK(A8),"",VLOOKUP(B8,Ceilings!$A$4:$F$203,3,0))</f>
        <v/>
      </c>
      <c r="H8" s="310" t="str">
        <f>IF(ISBLANK($A8),"",F8*G8)</f>
        <v/>
      </c>
      <c r="I8" s="311"/>
      <c r="J8" s="310" t="str">
        <f>IF(ISBLANK(A8),"",VLOOKUP(B8,Ceilings!$A$4:$F$203,4,0))</f>
        <v/>
      </c>
      <c r="K8" s="310" t="str">
        <f>IF(ISBLANK($A8),"",I8*J8)</f>
        <v/>
      </c>
      <c r="L8" s="311"/>
      <c r="M8" s="310" t="str">
        <f>IF(ISBLANK(A8),"",VLOOKUP(B8,Ceilings!$A$4:$F$203,5,0))</f>
        <v/>
      </c>
      <c r="N8" s="310" t="str">
        <f>IF(ISBLANK($A8),"",L8*M8)</f>
        <v/>
      </c>
      <c r="O8" s="311"/>
      <c r="P8" s="310" t="str">
        <f>IF(ISBLANK(A8),"",VLOOKUP(B8,Ceilings!$A$4:$F$203,6,0))</f>
        <v/>
      </c>
      <c r="Q8" s="312" t="str">
        <f>IF(ISBLANK($A8),"",O8*P8)</f>
        <v/>
      </c>
    </row>
    <row r="9" spans="1:17">
      <c r="A9" s="313"/>
      <c r="B9" s="314" t="str">
        <f>IF(ISBLANK(A9),"",VLOOKUP(A9,Management!$A$11:$C$25,2,0))</f>
        <v/>
      </c>
      <c r="C9" s="315"/>
      <c r="D9" s="93" t="str">
        <f t="shared" ref="D9:D72" si="0">IF(ISBLANK(A9),"",SUM(F9,I9,L9,O9))</f>
        <v/>
      </c>
      <c r="E9" s="316" t="str">
        <f t="shared" ref="E9:E72" si="1">IF(ISBLANK(A9),"",IF(ISBLANK(C9),"Missing data",SUM(H9,K9,N9,Q9)))</f>
        <v/>
      </c>
      <c r="F9" s="317"/>
      <c r="G9" s="318" t="str">
        <f>IF(ISBLANK(A9),"",VLOOKUP(B9,Ceilings!$A$4:$F$203,3,0))</f>
        <v/>
      </c>
      <c r="H9" s="318" t="str">
        <f t="shared" ref="H9:H72" si="2">IF(ISBLANK($A9),"",F9*G9)</f>
        <v/>
      </c>
      <c r="I9" s="319"/>
      <c r="J9" s="318" t="str">
        <f>IF(ISBLANK(A9),"",VLOOKUP(B9,Ceilings!$A$4:$F$203,4,0))</f>
        <v/>
      </c>
      <c r="K9" s="318" t="str">
        <f t="shared" ref="K9:K72" si="3">IF(ISBLANK($A9),"",I9*J9)</f>
        <v/>
      </c>
      <c r="L9" s="319"/>
      <c r="M9" s="318" t="str">
        <f>IF(ISBLANK(A9),"",VLOOKUP(B9,Ceilings!$A$4:$F$203,5,0))</f>
        <v/>
      </c>
      <c r="N9" s="318" t="str">
        <f t="shared" ref="N9:N72" si="4">IF(ISBLANK($A9),"",L9*M9)</f>
        <v/>
      </c>
      <c r="O9" s="319"/>
      <c r="P9" s="318" t="str">
        <f>IF(ISBLANK(A9),"",VLOOKUP(B9,Ceilings!$A$4:$F$203,6,0))</f>
        <v/>
      </c>
      <c r="Q9" s="233" t="str">
        <f t="shared" ref="Q9:Q72" si="5">IF(ISBLANK($A9),"",O9*P9)</f>
        <v/>
      </c>
    </row>
    <row r="10" spans="1:17">
      <c r="A10" s="313"/>
      <c r="B10" s="314" t="str">
        <f>IF(ISBLANK(A10),"",VLOOKUP(A10,Management!$A$11:$C$25,2,0))</f>
        <v/>
      </c>
      <c r="C10" s="315"/>
      <c r="D10" s="93" t="str">
        <f t="shared" si="0"/>
        <v/>
      </c>
      <c r="E10" s="316" t="str">
        <f t="shared" si="1"/>
        <v/>
      </c>
      <c r="F10" s="317"/>
      <c r="G10" s="318" t="str">
        <f>IF(ISBLANK(A10),"",VLOOKUP(B10,Ceilings!$A$4:$F$203,3,0))</f>
        <v/>
      </c>
      <c r="H10" s="318" t="str">
        <f t="shared" si="2"/>
        <v/>
      </c>
      <c r="I10" s="319"/>
      <c r="J10" s="318" t="str">
        <f>IF(ISBLANK(A10),"",VLOOKUP(B10,Ceilings!$A$4:$F$203,4,0))</f>
        <v/>
      </c>
      <c r="K10" s="318" t="str">
        <f t="shared" si="3"/>
        <v/>
      </c>
      <c r="L10" s="319"/>
      <c r="M10" s="318" t="str">
        <f>IF(ISBLANK(A10),"",VLOOKUP(B10,Ceilings!$A$4:$F$203,5,0))</f>
        <v/>
      </c>
      <c r="N10" s="318" t="str">
        <f t="shared" si="4"/>
        <v/>
      </c>
      <c r="O10" s="319"/>
      <c r="P10" s="318" t="str">
        <f>IF(ISBLANK(A10),"",VLOOKUP(B10,Ceilings!$A$4:$F$203,6,0))</f>
        <v/>
      </c>
      <c r="Q10" s="233" t="str">
        <f t="shared" si="5"/>
        <v/>
      </c>
    </row>
    <row r="11" spans="1:17">
      <c r="A11" s="313"/>
      <c r="B11" s="314" t="str">
        <f>IF(ISBLANK(A11),"",VLOOKUP(A11,Management!$A$11:$C$25,2,0))</f>
        <v/>
      </c>
      <c r="C11" s="315"/>
      <c r="D11" s="93" t="str">
        <f t="shared" si="0"/>
        <v/>
      </c>
      <c r="E11" s="316" t="str">
        <f t="shared" si="1"/>
        <v/>
      </c>
      <c r="F11" s="317"/>
      <c r="G11" s="318" t="str">
        <f>IF(ISBLANK(A11),"",VLOOKUP(B11,Ceilings!$A$4:$F$203,3,0))</f>
        <v/>
      </c>
      <c r="H11" s="318" t="str">
        <f t="shared" si="2"/>
        <v/>
      </c>
      <c r="I11" s="319"/>
      <c r="J11" s="318" t="str">
        <f>IF(ISBLANK(A11),"",VLOOKUP(B11,Ceilings!$A$4:$F$203,4,0))</f>
        <v/>
      </c>
      <c r="K11" s="318" t="str">
        <f t="shared" si="3"/>
        <v/>
      </c>
      <c r="L11" s="319"/>
      <c r="M11" s="318" t="str">
        <f>IF(ISBLANK(A11),"",VLOOKUP(B11,Ceilings!$A$4:$F$203,5,0))</f>
        <v/>
      </c>
      <c r="N11" s="318" t="str">
        <f t="shared" si="4"/>
        <v/>
      </c>
      <c r="O11" s="319"/>
      <c r="P11" s="318" t="str">
        <f>IF(ISBLANK(A11),"",VLOOKUP(B11,Ceilings!$A$4:$F$203,6,0))</f>
        <v/>
      </c>
      <c r="Q11" s="233" t="str">
        <f t="shared" si="5"/>
        <v/>
      </c>
    </row>
    <row r="12" spans="1:17">
      <c r="A12" s="313"/>
      <c r="B12" s="314" t="str">
        <f>IF(ISBLANK(A12),"",VLOOKUP(A12,Management!$A$11:$C$25,2,0))</f>
        <v/>
      </c>
      <c r="C12" s="320"/>
      <c r="D12" s="93" t="str">
        <f t="shared" si="0"/>
        <v/>
      </c>
      <c r="E12" s="316" t="str">
        <f t="shared" si="1"/>
        <v/>
      </c>
      <c r="F12" s="317"/>
      <c r="G12" s="318" t="str">
        <f>IF(ISBLANK(A12),"",VLOOKUP(B12,Ceilings!$A$4:$F$203,3,0))</f>
        <v/>
      </c>
      <c r="H12" s="318" t="str">
        <f t="shared" si="2"/>
        <v/>
      </c>
      <c r="I12" s="319"/>
      <c r="J12" s="318" t="str">
        <f>IF(ISBLANK(A12),"",VLOOKUP(B12,Ceilings!$A$4:$F$203,4,0))</f>
        <v/>
      </c>
      <c r="K12" s="318" t="str">
        <f t="shared" si="3"/>
        <v/>
      </c>
      <c r="L12" s="319"/>
      <c r="M12" s="318" t="str">
        <f>IF(ISBLANK(A12),"",VLOOKUP(B12,Ceilings!$A$4:$F$203,5,0))</f>
        <v/>
      </c>
      <c r="N12" s="318" t="str">
        <f t="shared" si="4"/>
        <v/>
      </c>
      <c r="O12" s="319"/>
      <c r="P12" s="318" t="str">
        <f>IF(ISBLANK(A12),"",VLOOKUP(B12,Ceilings!$A$4:$F$203,6,0))</f>
        <v/>
      </c>
      <c r="Q12" s="233" t="str">
        <f t="shared" si="5"/>
        <v/>
      </c>
    </row>
    <row r="13" spans="1:17">
      <c r="A13" s="313"/>
      <c r="B13" s="314" t="str">
        <f>IF(ISBLANK(A13),"",VLOOKUP(A13,Management!$A$11:$C$25,2,0))</f>
        <v/>
      </c>
      <c r="C13" s="315"/>
      <c r="D13" s="93" t="str">
        <f t="shared" si="0"/>
        <v/>
      </c>
      <c r="E13" s="316" t="str">
        <f t="shared" si="1"/>
        <v/>
      </c>
      <c r="F13" s="317"/>
      <c r="G13" s="318" t="str">
        <f>IF(ISBLANK(A13),"",VLOOKUP(B13,Ceilings!$A$4:$F$203,3,0))</f>
        <v/>
      </c>
      <c r="H13" s="318" t="str">
        <f t="shared" si="2"/>
        <v/>
      </c>
      <c r="I13" s="319"/>
      <c r="J13" s="318" t="str">
        <f>IF(ISBLANK(A13),"",VLOOKUP(B13,Ceilings!$A$4:$F$203,4,0))</f>
        <v/>
      </c>
      <c r="K13" s="318" t="str">
        <f t="shared" si="3"/>
        <v/>
      </c>
      <c r="L13" s="319"/>
      <c r="M13" s="318" t="str">
        <f>IF(ISBLANK(A13),"",VLOOKUP(B13,Ceilings!$A$4:$F$203,5,0))</f>
        <v/>
      </c>
      <c r="N13" s="318" t="str">
        <f t="shared" si="4"/>
        <v/>
      </c>
      <c r="O13" s="319"/>
      <c r="P13" s="318" t="str">
        <f>IF(ISBLANK(A13),"",VLOOKUP(B13,Ceilings!$A$4:$F$203,6,0))</f>
        <v/>
      </c>
      <c r="Q13" s="233" t="str">
        <f t="shared" si="5"/>
        <v/>
      </c>
    </row>
    <row r="14" spans="1:17">
      <c r="A14" s="313"/>
      <c r="B14" s="314" t="str">
        <f>IF(ISBLANK(A14),"",VLOOKUP(A14,Management!$A$11:$C$25,2,0))</f>
        <v/>
      </c>
      <c r="C14" s="315"/>
      <c r="D14" s="93" t="str">
        <f t="shared" si="0"/>
        <v/>
      </c>
      <c r="E14" s="316" t="str">
        <f t="shared" si="1"/>
        <v/>
      </c>
      <c r="F14" s="317"/>
      <c r="G14" s="318" t="str">
        <f>IF(ISBLANK(A14),"",VLOOKUP(B14,Ceilings!$A$4:$F$203,3,0))</f>
        <v/>
      </c>
      <c r="H14" s="318" t="str">
        <f t="shared" si="2"/>
        <v/>
      </c>
      <c r="I14" s="319"/>
      <c r="J14" s="318" t="str">
        <f>IF(ISBLANK(A14),"",VLOOKUP(B14,Ceilings!$A$4:$F$203,4,0))</f>
        <v/>
      </c>
      <c r="K14" s="318" t="str">
        <f t="shared" si="3"/>
        <v/>
      </c>
      <c r="L14" s="319"/>
      <c r="M14" s="318" t="str">
        <f>IF(ISBLANK(A14),"",VLOOKUP(B14,Ceilings!$A$4:$F$203,5,0))</f>
        <v/>
      </c>
      <c r="N14" s="318" t="str">
        <f t="shared" si="4"/>
        <v/>
      </c>
      <c r="O14" s="319"/>
      <c r="P14" s="318" t="str">
        <f>IF(ISBLANK(A14),"",VLOOKUP(B14,Ceilings!$A$4:$F$203,6,0))</f>
        <v/>
      </c>
      <c r="Q14" s="233" t="str">
        <f t="shared" si="5"/>
        <v/>
      </c>
    </row>
    <row r="15" spans="1:17">
      <c r="A15" s="313"/>
      <c r="B15" s="314" t="str">
        <f>IF(ISBLANK(A15),"",VLOOKUP(A15,Management!$A$11:$C$25,2,0))</f>
        <v/>
      </c>
      <c r="C15" s="315"/>
      <c r="D15" s="93" t="str">
        <f t="shared" si="0"/>
        <v/>
      </c>
      <c r="E15" s="316" t="str">
        <f t="shared" si="1"/>
        <v/>
      </c>
      <c r="F15" s="317"/>
      <c r="G15" s="318" t="str">
        <f>IF(ISBLANK(A15),"",VLOOKUP(B15,Ceilings!$A$4:$F$203,3,0))</f>
        <v/>
      </c>
      <c r="H15" s="318" t="str">
        <f t="shared" si="2"/>
        <v/>
      </c>
      <c r="I15" s="319"/>
      <c r="J15" s="318" t="str">
        <f>IF(ISBLANK(A15),"",VLOOKUP(B15,Ceilings!$A$4:$F$203,4,0))</f>
        <v/>
      </c>
      <c r="K15" s="318" t="str">
        <f t="shared" si="3"/>
        <v/>
      </c>
      <c r="L15" s="319"/>
      <c r="M15" s="318" t="str">
        <f>IF(ISBLANK(A15),"",VLOOKUP(B15,Ceilings!$A$4:$F$203,5,0))</f>
        <v/>
      </c>
      <c r="N15" s="318" t="str">
        <f t="shared" si="4"/>
        <v/>
      </c>
      <c r="O15" s="319"/>
      <c r="P15" s="318" t="str">
        <f>IF(ISBLANK(A15),"",VLOOKUP(B15,Ceilings!$A$4:$F$203,6,0))</f>
        <v/>
      </c>
      <c r="Q15" s="233" t="str">
        <f t="shared" si="5"/>
        <v/>
      </c>
    </row>
    <row r="16" spans="1:17">
      <c r="A16" s="313"/>
      <c r="B16" s="314" t="str">
        <f>IF(ISBLANK(A16),"",VLOOKUP(A16,Management!$A$11:$C$25,2,0))</f>
        <v/>
      </c>
      <c r="C16" s="320"/>
      <c r="D16" s="93" t="str">
        <f t="shared" si="0"/>
        <v/>
      </c>
      <c r="E16" s="316" t="str">
        <f t="shared" si="1"/>
        <v/>
      </c>
      <c r="F16" s="317"/>
      <c r="G16" s="318" t="str">
        <f>IF(ISBLANK(A16),"",VLOOKUP(B16,Ceilings!$A$4:$F$203,3,0))</f>
        <v/>
      </c>
      <c r="H16" s="318" t="str">
        <f t="shared" si="2"/>
        <v/>
      </c>
      <c r="I16" s="319"/>
      <c r="J16" s="318" t="str">
        <f>IF(ISBLANK(A16),"",VLOOKUP(B16,Ceilings!$A$4:$F$203,4,0))</f>
        <v/>
      </c>
      <c r="K16" s="318" t="str">
        <f t="shared" si="3"/>
        <v/>
      </c>
      <c r="L16" s="319"/>
      <c r="M16" s="318" t="str">
        <f>IF(ISBLANK(A16),"",VLOOKUP(B16,Ceilings!$A$4:$F$203,5,0))</f>
        <v/>
      </c>
      <c r="N16" s="318" t="str">
        <f t="shared" si="4"/>
        <v/>
      </c>
      <c r="O16" s="319"/>
      <c r="P16" s="318" t="str">
        <f>IF(ISBLANK(A16),"",VLOOKUP(B16,Ceilings!$A$4:$F$203,6,0))</f>
        <v/>
      </c>
      <c r="Q16" s="233" t="str">
        <f t="shared" si="5"/>
        <v/>
      </c>
    </row>
    <row r="17" spans="1:17">
      <c r="A17" s="313"/>
      <c r="B17" s="314" t="str">
        <f>IF(ISBLANK(A17),"",VLOOKUP(A17,Management!$A$11:$C$25,2,0))</f>
        <v/>
      </c>
      <c r="C17" s="315"/>
      <c r="D17" s="93" t="str">
        <f t="shared" si="0"/>
        <v/>
      </c>
      <c r="E17" s="316" t="str">
        <f t="shared" si="1"/>
        <v/>
      </c>
      <c r="F17" s="317"/>
      <c r="G17" s="318" t="str">
        <f>IF(ISBLANK(A17),"",VLOOKUP(B17,Ceilings!$A$4:$F$203,3,0))</f>
        <v/>
      </c>
      <c r="H17" s="318" t="str">
        <f t="shared" si="2"/>
        <v/>
      </c>
      <c r="I17" s="319"/>
      <c r="J17" s="318" t="str">
        <f>IF(ISBLANK(A17),"",VLOOKUP(B17,Ceilings!$A$4:$F$203,4,0))</f>
        <v/>
      </c>
      <c r="K17" s="318" t="str">
        <f t="shared" si="3"/>
        <v/>
      </c>
      <c r="L17" s="319"/>
      <c r="M17" s="318" t="str">
        <f>IF(ISBLANK(A17),"",VLOOKUP(B17,Ceilings!$A$4:$F$203,5,0))</f>
        <v/>
      </c>
      <c r="N17" s="318" t="str">
        <f t="shared" si="4"/>
        <v/>
      </c>
      <c r="O17" s="319"/>
      <c r="P17" s="318" t="str">
        <f>IF(ISBLANK(A17),"",VLOOKUP(B17,Ceilings!$A$4:$F$203,6,0))</f>
        <v/>
      </c>
      <c r="Q17" s="233" t="str">
        <f t="shared" si="5"/>
        <v/>
      </c>
    </row>
    <row r="18" spans="1:17">
      <c r="A18" s="313"/>
      <c r="B18" s="314" t="str">
        <f>IF(ISBLANK(A18),"",VLOOKUP(A18,Management!$A$11:$C$25,2,0))</f>
        <v/>
      </c>
      <c r="C18" s="315"/>
      <c r="D18" s="93" t="str">
        <f t="shared" si="0"/>
        <v/>
      </c>
      <c r="E18" s="316" t="str">
        <f t="shared" si="1"/>
        <v/>
      </c>
      <c r="F18" s="317"/>
      <c r="G18" s="318" t="str">
        <f>IF(ISBLANK(A18),"",VLOOKUP(B18,Ceilings!$A$4:$F$203,3,0))</f>
        <v/>
      </c>
      <c r="H18" s="318" t="str">
        <f t="shared" si="2"/>
        <v/>
      </c>
      <c r="I18" s="319"/>
      <c r="J18" s="318" t="str">
        <f>IF(ISBLANK(A18),"",VLOOKUP(B18,Ceilings!$A$4:$F$203,4,0))</f>
        <v/>
      </c>
      <c r="K18" s="318" t="str">
        <f t="shared" si="3"/>
        <v/>
      </c>
      <c r="L18" s="319"/>
      <c r="M18" s="318" t="str">
        <f>IF(ISBLANK(A18),"",VLOOKUP(B18,Ceilings!$A$4:$F$203,5,0))</f>
        <v/>
      </c>
      <c r="N18" s="318" t="str">
        <f t="shared" si="4"/>
        <v/>
      </c>
      <c r="O18" s="319"/>
      <c r="P18" s="318" t="str">
        <f>IF(ISBLANK(A18),"",VLOOKUP(B18,Ceilings!$A$4:$F$203,6,0))</f>
        <v/>
      </c>
      <c r="Q18" s="233" t="str">
        <f t="shared" si="5"/>
        <v/>
      </c>
    </row>
    <row r="19" spans="1:17">
      <c r="A19" s="313"/>
      <c r="B19" s="314" t="str">
        <f>IF(ISBLANK(A19),"",VLOOKUP(A19,Management!$A$11:$C$25,2,0))</f>
        <v/>
      </c>
      <c r="C19" s="315"/>
      <c r="D19" s="93" t="str">
        <f t="shared" si="0"/>
        <v/>
      </c>
      <c r="E19" s="316" t="str">
        <f t="shared" si="1"/>
        <v/>
      </c>
      <c r="F19" s="317"/>
      <c r="G19" s="318" t="str">
        <f>IF(ISBLANK(A19),"",VLOOKUP(B19,Ceilings!$A$4:$F$203,3,0))</f>
        <v/>
      </c>
      <c r="H19" s="318" t="str">
        <f t="shared" si="2"/>
        <v/>
      </c>
      <c r="I19" s="319"/>
      <c r="J19" s="318" t="str">
        <f>IF(ISBLANK(A19),"",VLOOKUP(B19,Ceilings!$A$4:$F$203,4,0))</f>
        <v/>
      </c>
      <c r="K19" s="318" t="str">
        <f t="shared" si="3"/>
        <v/>
      </c>
      <c r="L19" s="319"/>
      <c r="M19" s="318" t="str">
        <f>IF(ISBLANK(A19),"",VLOOKUP(B19,Ceilings!$A$4:$F$203,5,0))</f>
        <v/>
      </c>
      <c r="N19" s="318" t="str">
        <f t="shared" si="4"/>
        <v/>
      </c>
      <c r="O19" s="319"/>
      <c r="P19" s="318" t="str">
        <f>IF(ISBLANK(A19),"",VLOOKUP(B19,Ceilings!$A$4:$F$203,6,0))</f>
        <v/>
      </c>
      <c r="Q19" s="233" t="str">
        <f t="shared" si="5"/>
        <v/>
      </c>
    </row>
    <row r="20" spans="1:17">
      <c r="A20" s="313"/>
      <c r="B20" s="314" t="str">
        <f>IF(ISBLANK(A20),"",VLOOKUP(A20,Management!$A$11:$C$25,2,0))</f>
        <v/>
      </c>
      <c r="C20" s="315"/>
      <c r="D20" s="93" t="str">
        <f t="shared" si="0"/>
        <v/>
      </c>
      <c r="E20" s="316" t="str">
        <f t="shared" si="1"/>
        <v/>
      </c>
      <c r="F20" s="317"/>
      <c r="G20" s="318" t="str">
        <f>IF(ISBLANK(A20),"",VLOOKUP(B20,Ceilings!$A$4:$F$203,3,0))</f>
        <v/>
      </c>
      <c r="H20" s="318" t="str">
        <f t="shared" si="2"/>
        <v/>
      </c>
      <c r="I20" s="319"/>
      <c r="J20" s="318" t="str">
        <f>IF(ISBLANK(A20),"",VLOOKUP(B20,Ceilings!$A$4:$F$203,4,0))</f>
        <v/>
      </c>
      <c r="K20" s="318" t="str">
        <f t="shared" si="3"/>
        <v/>
      </c>
      <c r="L20" s="319"/>
      <c r="M20" s="318" t="str">
        <f>IF(ISBLANK(A20),"",VLOOKUP(B20,Ceilings!$A$4:$F$203,5,0))</f>
        <v/>
      </c>
      <c r="N20" s="318" t="str">
        <f t="shared" si="4"/>
        <v/>
      </c>
      <c r="O20" s="319"/>
      <c r="P20" s="318" t="str">
        <f>IF(ISBLANK(A20),"",VLOOKUP(B20,Ceilings!$A$4:$F$203,6,0))</f>
        <v/>
      </c>
      <c r="Q20" s="233" t="str">
        <f t="shared" si="5"/>
        <v/>
      </c>
    </row>
    <row r="21" spans="1:17">
      <c r="A21" s="313"/>
      <c r="B21" s="314" t="str">
        <f>IF(ISBLANK(A21),"",VLOOKUP(A21,Management!$A$11:$C$25,2,0))</f>
        <v/>
      </c>
      <c r="C21" s="315"/>
      <c r="D21" s="93" t="str">
        <f t="shared" si="0"/>
        <v/>
      </c>
      <c r="E21" s="316" t="str">
        <f t="shared" si="1"/>
        <v/>
      </c>
      <c r="F21" s="317"/>
      <c r="G21" s="318" t="str">
        <f>IF(ISBLANK(A21),"",VLOOKUP(B21,Ceilings!$A$4:$F$203,3,0))</f>
        <v/>
      </c>
      <c r="H21" s="318" t="str">
        <f t="shared" si="2"/>
        <v/>
      </c>
      <c r="I21" s="319"/>
      <c r="J21" s="318" t="str">
        <f>IF(ISBLANK(A21),"",VLOOKUP(B21,Ceilings!$A$4:$F$203,4,0))</f>
        <v/>
      </c>
      <c r="K21" s="318" t="str">
        <f t="shared" si="3"/>
        <v/>
      </c>
      <c r="L21" s="319"/>
      <c r="M21" s="318" t="str">
        <f>IF(ISBLANK(A21),"",VLOOKUP(B21,Ceilings!$A$4:$F$203,5,0))</f>
        <v/>
      </c>
      <c r="N21" s="318" t="str">
        <f t="shared" si="4"/>
        <v/>
      </c>
      <c r="O21" s="319"/>
      <c r="P21" s="318" t="str">
        <f>IF(ISBLANK(A21),"",VLOOKUP(B21,Ceilings!$A$4:$F$203,6,0))</f>
        <v/>
      </c>
      <c r="Q21" s="233" t="str">
        <f t="shared" si="5"/>
        <v/>
      </c>
    </row>
    <row r="22" spans="1:17">
      <c r="A22" s="313"/>
      <c r="B22" s="314" t="str">
        <f>IF(ISBLANK(A22),"",VLOOKUP(A22,Management!$A$11:$C$25,2,0))</f>
        <v/>
      </c>
      <c r="C22" s="315"/>
      <c r="D22" s="93" t="str">
        <f t="shared" si="0"/>
        <v/>
      </c>
      <c r="E22" s="316" t="str">
        <f t="shared" si="1"/>
        <v/>
      </c>
      <c r="F22" s="317"/>
      <c r="G22" s="318" t="str">
        <f>IF(ISBLANK(A22),"",VLOOKUP(B22,Ceilings!$A$4:$F$203,3,0))</f>
        <v/>
      </c>
      <c r="H22" s="318" t="str">
        <f t="shared" si="2"/>
        <v/>
      </c>
      <c r="I22" s="319"/>
      <c r="J22" s="318" t="str">
        <f>IF(ISBLANK(A22),"",VLOOKUP(B22,Ceilings!$A$4:$F$203,4,0))</f>
        <v/>
      </c>
      <c r="K22" s="318" t="str">
        <f t="shared" si="3"/>
        <v/>
      </c>
      <c r="L22" s="319"/>
      <c r="M22" s="318" t="str">
        <f>IF(ISBLANK(A22),"",VLOOKUP(B22,Ceilings!$A$4:$F$203,5,0))</f>
        <v/>
      </c>
      <c r="N22" s="318" t="str">
        <f t="shared" si="4"/>
        <v/>
      </c>
      <c r="O22" s="319"/>
      <c r="P22" s="318" t="str">
        <f>IF(ISBLANK(A22),"",VLOOKUP(B22,Ceilings!$A$4:$F$203,6,0))</f>
        <v/>
      </c>
      <c r="Q22" s="233" t="str">
        <f t="shared" si="5"/>
        <v/>
      </c>
    </row>
    <row r="23" spans="1:17">
      <c r="A23" s="313"/>
      <c r="B23" s="314" t="str">
        <f>IF(ISBLANK(A23),"",VLOOKUP(A23,Management!$A$11:$C$25,2,0))</f>
        <v/>
      </c>
      <c r="C23" s="315"/>
      <c r="D23" s="93" t="str">
        <f t="shared" si="0"/>
        <v/>
      </c>
      <c r="E23" s="316" t="str">
        <f t="shared" si="1"/>
        <v/>
      </c>
      <c r="F23" s="317"/>
      <c r="G23" s="318" t="str">
        <f>IF(ISBLANK(A23),"",VLOOKUP(B23,Ceilings!$A$4:$F$203,3,0))</f>
        <v/>
      </c>
      <c r="H23" s="318" t="str">
        <f t="shared" si="2"/>
        <v/>
      </c>
      <c r="I23" s="319"/>
      <c r="J23" s="318" t="str">
        <f>IF(ISBLANK(A23),"",VLOOKUP(B23,Ceilings!$A$4:$F$203,4,0))</f>
        <v/>
      </c>
      <c r="K23" s="318" t="str">
        <f t="shared" si="3"/>
        <v/>
      </c>
      <c r="L23" s="319"/>
      <c r="M23" s="318" t="str">
        <f>IF(ISBLANK(A23),"",VLOOKUP(B23,Ceilings!$A$4:$F$203,5,0))</f>
        <v/>
      </c>
      <c r="N23" s="318" t="str">
        <f t="shared" si="4"/>
        <v/>
      </c>
      <c r="O23" s="319"/>
      <c r="P23" s="318" t="str">
        <f>IF(ISBLANK(A23),"",VLOOKUP(B23,Ceilings!$A$4:$F$203,6,0))</f>
        <v/>
      </c>
      <c r="Q23" s="233" t="str">
        <f t="shared" si="5"/>
        <v/>
      </c>
    </row>
    <row r="24" spans="1:17">
      <c r="A24" s="313"/>
      <c r="B24" s="314" t="str">
        <f>IF(ISBLANK(A24),"",VLOOKUP(A24,Management!$A$11:$C$25,2,0))</f>
        <v/>
      </c>
      <c r="C24" s="315"/>
      <c r="D24" s="93" t="str">
        <f t="shared" si="0"/>
        <v/>
      </c>
      <c r="E24" s="316" t="str">
        <f t="shared" si="1"/>
        <v/>
      </c>
      <c r="F24" s="317"/>
      <c r="G24" s="318" t="str">
        <f>IF(ISBLANK(A24),"",VLOOKUP(B24,Ceilings!$A$4:$F$203,3,0))</f>
        <v/>
      </c>
      <c r="H24" s="318" t="str">
        <f t="shared" si="2"/>
        <v/>
      </c>
      <c r="I24" s="319"/>
      <c r="J24" s="318" t="str">
        <f>IF(ISBLANK(A24),"",VLOOKUP(B24,Ceilings!$A$4:$F$203,4,0))</f>
        <v/>
      </c>
      <c r="K24" s="318" t="str">
        <f t="shared" si="3"/>
        <v/>
      </c>
      <c r="L24" s="319"/>
      <c r="M24" s="318" t="str">
        <f>IF(ISBLANK(A24),"",VLOOKUP(B24,Ceilings!$A$4:$F$203,5,0))</f>
        <v/>
      </c>
      <c r="N24" s="318" t="str">
        <f t="shared" si="4"/>
        <v/>
      </c>
      <c r="O24" s="319"/>
      <c r="P24" s="318" t="str">
        <f>IF(ISBLANK(A24),"",VLOOKUP(B24,Ceilings!$A$4:$F$203,6,0))</f>
        <v/>
      </c>
      <c r="Q24" s="233" t="str">
        <f t="shared" si="5"/>
        <v/>
      </c>
    </row>
    <row r="25" spans="1:17">
      <c r="A25" s="313"/>
      <c r="B25" s="314" t="str">
        <f>IF(ISBLANK(A25),"",VLOOKUP(A25,Management!$A$11:$C$25,2,0))</f>
        <v/>
      </c>
      <c r="C25" s="315"/>
      <c r="D25" s="93" t="str">
        <f t="shared" si="0"/>
        <v/>
      </c>
      <c r="E25" s="316" t="str">
        <f t="shared" si="1"/>
        <v/>
      </c>
      <c r="F25" s="317"/>
      <c r="G25" s="318" t="str">
        <f>IF(ISBLANK(A25),"",VLOOKUP(B25,Ceilings!$A$4:$F$203,3,0))</f>
        <v/>
      </c>
      <c r="H25" s="318" t="str">
        <f t="shared" si="2"/>
        <v/>
      </c>
      <c r="I25" s="319"/>
      <c r="J25" s="318" t="str">
        <f>IF(ISBLANK(A25),"",VLOOKUP(B25,Ceilings!$A$4:$F$203,4,0))</f>
        <v/>
      </c>
      <c r="K25" s="318" t="str">
        <f t="shared" si="3"/>
        <v/>
      </c>
      <c r="L25" s="319"/>
      <c r="M25" s="318" t="str">
        <f>IF(ISBLANK(A25),"",VLOOKUP(B25,Ceilings!$A$4:$F$203,5,0))</f>
        <v/>
      </c>
      <c r="N25" s="318" t="str">
        <f t="shared" si="4"/>
        <v/>
      </c>
      <c r="O25" s="319"/>
      <c r="P25" s="318" t="str">
        <f>IF(ISBLANK(A25),"",VLOOKUP(B25,Ceilings!$A$4:$F$203,6,0))</f>
        <v/>
      </c>
      <c r="Q25" s="233" t="str">
        <f t="shared" si="5"/>
        <v/>
      </c>
    </row>
    <row r="26" spans="1:17">
      <c r="A26" s="313"/>
      <c r="B26" s="314" t="str">
        <f>IF(ISBLANK(A26),"",VLOOKUP(A26,Management!$A$11:$C$25,2,0))</f>
        <v/>
      </c>
      <c r="C26" s="315"/>
      <c r="D26" s="93" t="str">
        <f t="shared" si="0"/>
        <v/>
      </c>
      <c r="E26" s="316" t="str">
        <f t="shared" si="1"/>
        <v/>
      </c>
      <c r="F26" s="317"/>
      <c r="G26" s="318" t="str">
        <f>IF(ISBLANK(A26),"",VLOOKUP(B26,Ceilings!$A$4:$F$203,3,0))</f>
        <v/>
      </c>
      <c r="H26" s="318" t="str">
        <f t="shared" si="2"/>
        <v/>
      </c>
      <c r="I26" s="319"/>
      <c r="J26" s="318" t="str">
        <f>IF(ISBLANK(A26),"",VLOOKUP(B26,Ceilings!$A$4:$F$203,4,0))</f>
        <v/>
      </c>
      <c r="K26" s="318" t="str">
        <f t="shared" si="3"/>
        <v/>
      </c>
      <c r="L26" s="319"/>
      <c r="M26" s="318" t="str">
        <f>IF(ISBLANK(A26),"",VLOOKUP(B26,Ceilings!$A$4:$F$203,5,0))</f>
        <v/>
      </c>
      <c r="N26" s="318" t="str">
        <f t="shared" si="4"/>
        <v/>
      </c>
      <c r="O26" s="319"/>
      <c r="P26" s="318" t="str">
        <f>IF(ISBLANK(A26),"",VLOOKUP(B26,Ceilings!$A$4:$F$203,6,0))</f>
        <v/>
      </c>
      <c r="Q26" s="233" t="str">
        <f t="shared" si="5"/>
        <v/>
      </c>
    </row>
    <row r="27" spans="1:17">
      <c r="A27" s="313"/>
      <c r="B27" s="314" t="str">
        <f>IF(ISBLANK(A27),"",VLOOKUP(A27,Management!$A$11:$C$25,2,0))</f>
        <v/>
      </c>
      <c r="C27" s="315"/>
      <c r="D27" s="93" t="str">
        <f t="shared" si="0"/>
        <v/>
      </c>
      <c r="E27" s="316" t="str">
        <f t="shared" si="1"/>
        <v/>
      </c>
      <c r="F27" s="317"/>
      <c r="G27" s="318" t="str">
        <f>IF(ISBLANK(A27),"",VLOOKUP(B27,Ceilings!$A$4:$F$203,3,0))</f>
        <v/>
      </c>
      <c r="H27" s="318" t="str">
        <f t="shared" si="2"/>
        <v/>
      </c>
      <c r="I27" s="319"/>
      <c r="J27" s="318" t="str">
        <f>IF(ISBLANK(A27),"",VLOOKUP(B27,Ceilings!$A$4:$F$203,4,0))</f>
        <v/>
      </c>
      <c r="K27" s="318" t="str">
        <f t="shared" si="3"/>
        <v/>
      </c>
      <c r="L27" s="319"/>
      <c r="M27" s="318" t="str">
        <f>IF(ISBLANK(A27),"",VLOOKUP(B27,Ceilings!$A$4:$F$203,5,0))</f>
        <v/>
      </c>
      <c r="N27" s="318" t="str">
        <f t="shared" si="4"/>
        <v/>
      </c>
      <c r="O27" s="319"/>
      <c r="P27" s="318" t="str">
        <f>IF(ISBLANK(A27),"",VLOOKUP(B27,Ceilings!$A$4:$F$203,6,0))</f>
        <v/>
      </c>
      <c r="Q27" s="233" t="str">
        <f t="shared" si="5"/>
        <v/>
      </c>
    </row>
    <row r="28" spans="1:17">
      <c r="A28" s="313"/>
      <c r="B28" s="314" t="str">
        <f>IF(ISBLANK(A28),"",VLOOKUP(A28,Management!$A$11:$C$25,2,0))</f>
        <v/>
      </c>
      <c r="C28" s="315"/>
      <c r="D28" s="93" t="str">
        <f t="shared" si="0"/>
        <v/>
      </c>
      <c r="E28" s="316" t="str">
        <f t="shared" si="1"/>
        <v/>
      </c>
      <c r="F28" s="317"/>
      <c r="G28" s="318" t="str">
        <f>IF(ISBLANK(A28),"",VLOOKUP(B28,Ceilings!$A$4:$F$203,3,0))</f>
        <v/>
      </c>
      <c r="H28" s="318" t="str">
        <f t="shared" si="2"/>
        <v/>
      </c>
      <c r="I28" s="319"/>
      <c r="J28" s="318" t="str">
        <f>IF(ISBLANK(A28),"",VLOOKUP(B28,Ceilings!$A$4:$F$203,4,0))</f>
        <v/>
      </c>
      <c r="K28" s="318" t="str">
        <f t="shared" si="3"/>
        <v/>
      </c>
      <c r="L28" s="319"/>
      <c r="M28" s="318" t="str">
        <f>IF(ISBLANK(A28),"",VLOOKUP(B28,Ceilings!$A$4:$F$203,5,0))</f>
        <v/>
      </c>
      <c r="N28" s="318" t="str">
        <f t="shared" si="4"/>
        <v/>
      </c>
      <c r="O28" s="319"/>
      <c r="P28" s="318" t="str">
        <f>IF(ISBLANK(A28),"",VLOOKUP(B28,Ceilings!$A$4:$F$203,6,0))</f>
        <v/>
      </c>
      <c r="Q28" s="233" t="str">
        <f t="shared" si="5"/>
        <v/>
      </c>
    </row>
    <row r="29" spans="1:17">
      <c r="A29" s="313"/>
      <c r="B29" s="314" t="str">
        <f>IF(ISBLANK(A29),"",VLOOKUP(A29,Management!$A$11:$C$25,2,0))</f>
        <v/>
      </c>
      <c r="C29" s="315"/>
      <c r="D29" s="93" t="str">
        <f t="shared" si="0"/>
        <v/>
      </c>
      <c r="E29" s="316" t="str">
        <f t="shared" si="1"/>
        <v/>
      </c>
      <c r="F29" s="317"/>
      <c r="G29" s="318" t="str">
        <f>IF(ISBLANK(A29),"",VLOOKUP(B29,Ceilings!$A$4:$F$203,3,0))</f>
        <v/>
      </c>
      <c r="H29" s="318" t="str">
        <f t="shared" si="2"/>
        <v/>
      </c>
      <c r="I29" s="319"/>
      <c r="J29" s="318" t="str">
        <f>IF(ISBLANK(A29),"",VLOOKUP(B29,Ceilings!$A$4:$F$203,4,0))</f>
        <v/>
      </c>
      <c r="K29" s="318" t="str">
        <f t="shared" si="3"/>
        <v/>
      </c>
      <c r="L29" s="319"/>
      <c r="M29" s="318" t="str">
        <f>IF(ISBLANK(A29),"",VLOOKUP(B29,Ceilings!$A$4:$F$203,5,0))</f>
        <v/>
      </c>
      <c r="N29" s="318" t="str">
        <f t="shared" si="4"/>
        <v/>
      </c>
      <c r="O29" s="319"/>
      <c r="P29" s="318" t="str">
        <f>IF(ISBLANK(A29),"",VLOOKUP(B29,Ceilings!$A$4:$F$203,6,0))</f>
        <v/>
      </c>
      <c r="Q29" s="233" t="str">
        <f t="shared" si="5"/>
        <v/>
      </c>
    </row>
    <row r="30" spans="1:17">
      <c r="A30" s="313"/>
      <c r="B30" s="314" t="str">
        <f>IF(ISBLANK(A30),"",VLOOKUP(A30,Management!$A$11:$C$25,2,0))</f>
        <v/>
      </c>
      <c r="C30" s="315"/>
      <c r="D30" s="93" t="str">
        <f t="shared" si="0"/>
        <v/>
      </c>
      <c r="E30" s="316" t="str">
        <f t="shared" si="1"/>
        <v/>
      </c>
      <c r="F30" s="317"/>
      <c r="G30" s="318" t="str">
        <f>IF(ISBLANK(A30),"",VLOOKUP(B30,Ceilings!$A$4:$F$203,3,0))</f>
        <v/>
      </c>
      <c r="H30" s="318" t="str">
        <f t="shared" si="2"/>
        <v/>
      </c>
      <c r="I30" s="319"/>
      <c r="J30" s="318" t="str">
        <f>IF(ISBLANK(A30),"",VLOOKUP(B30,Ceilings!$A$4:$F$203,4,0))</f>
        <v/>
      </c>
      <c r="K30" s="318" t="str">
        <f t="shared" si="3"/>
        <v/>
      </c>
      <c r="L30" s="319"/>
      <c r="M30" s="318" t="str">
        <f>IF(ISBLANK(A30),"",VLOOKUP(B30,Ceilings!$A$4:$F$203,5,0))</f>
        <v/>
      </c>
      <c r="N30" s="318" t="str">
        <f t="shared" si="4"/>
        <v/>
      </c>
      <c r="O30" s="319"/>
      <c r="P30" s="318" t="str">
        <f>IF(ISBLANK(A30),"",VLOOKUP(B30,Ceilings!$A$4:$F$203,6,0))</f>
        <v/>
      </c>
      <c r="Q30" s="233" t="str">
        <f t="shared" si="5"/>
        <v/>
      </c>
    </row>
    <row r="31" spans="1:17">
      <c r="A31" s="313"/>
      <c r="B31" s="314" t="str">
        <f>IF(ISBLANK(A31),"",VLOOKUP(A31,Management!$A$11:$C$25,2,0))</f>
        <v/>
      </c>
      <c r="C31" s="315"/>
      <c r="D31" s="93" t="str">
        <f t="shared" si="0"/>
        <v/>
      </c>
      <c r="E31" s="316" t="str">
        <f t="shared" si="1"/>
        <v/>
      </c>
      <c r="F31" s="317"/>
      <c r="G31" s="318" t="str">
        <f>IF(ISBLANK(A31),"",VLOOKUP(B31,Ceilings!$A$4:$F$203,3,0))</f>
        <v/>
      </c>
      <c r="H31" s="318" t="str">
        <f t="shared" si="2"/>
        <v/>
      </c>
      <c r="I31" s="319"/>
      <c r="J31" s="318" t="str">
        <f>IF(ISBLANK(A31),"",VLOOKUP(B31,Ceilings!$A$4:$F$203,4,0))</f>
        <v/>
      </c>
      <c r="K31" s="318" t="str">
        <f t="shared" si="3"/>
        <v/>
      </c>
      <c r="L31" s="319"/>
      <c r="M31" s="318" t="str">
        <f>IF(ISBLANK(A31),"",VLOOKUP(B31,Ceilings!$A$4:$F$203,5,0))</f>
        <v/>
      </c>
      <c r="N31" s="318" t="str">
        <f t="shared" si="4"/>
        <v/>
      </c>
      <c r="O31" s="319"/>
      <c r="P31" s="318" t="str">
        <f>IF(ISBLANK(A31),"",VLOOKUP(B31,Ceilings!$A$4:$F$203,6,0))</f>
        <v/>
      </c>
      <c r="Q31" s="233" t="str">
        <f t="shared" si="5"/>
        <v/>
      </c>
    </row>
    <row r="32" spans="1:17">
      <c r="A32" s="313"/>
      <c r="B32" s="314" t="str">
        <f>IF(ISBLANK(A32),"",VLOOKUP(A32,Management!$A$11:$C$25,2,0))</f>
        <v/>
      </c>
      <c r="C32" s="315"/>
      <c r="D32" s="93" t="str">
        <f t="shared" si="0"/>
        <v/>
      </c>
      <c r="E32" s="316" t="str">
        <f t="shared" si="1"/>
        <v/>
      </c>
      <c r="F32" s="317"/>
      <c r="G32" s="318" t="str">
        <f>IF(ISBLANK(A32),"",VLOOKUP(B32,Ceilings!$A$4:$F$203,3,0))</f>
        <v/>
      </c>
      <c r="H32" s="318" t="str">
        <f t="shared" si="2"/>
        <v/>
      </c>
      <c r="I32" s="319"/>
      <c r="J32" s="318" t="str">
        <f>IF(ISBLANK(A32),"",VLOOKUP(B32,Ceilings!$A$4:$F$203,4,0))</f>
        <v/>
      </c>
      <c r="K32" s="318" t="str">
        <f t="shared" si="3"/>
        <v/>
      </c>
      <c r="L32" s="319"/>
      <c r="M32" s="318" t="str">
        <f>IF(ISBLANK(A32),"",VLOOKUP(B32,Ceilings!$A$4:$F$203,5,0))</f>
        <v/>
      </c>
      <c r="N32" s="318" t="str">
        <f t="shared" si="4"/>
        <v/>
      </c>
      <c r="O32" s="319"/>
      <c r="P32" s="318" t="str">
        <f>IF(ISBLANK(A32),"",VLOOKUP(B32,Ceilings!$A$4:$F$203,6,0))</f>
        <v/>
      </c>
      <c r="Q32" s="233" t="str">
        <f t="shared" si="5"/>
        <v/>
      </c>
    </row>
    <row r="33" spans="1:17">
      <c r="A33" s="313"/>
      <c r="B33" s="314" t="str">
        <f>IF(ISBLANK(A33),"",VLOOKUP(A33,Management!$A$11:$C$25,2,0))</f>
        <v/>
      </c>
      <c r="C33" s="315"/>
      <c r="D33" s="93" t="str">
        <f t="shared" si="0"/>
        <v/>
      </c>
      <c r="E33" s="316" t="str">
        <f t="shared" si="1"/>
        <v/>
      </c>
      <c r="F33" s="317"/>
      <c r="G33" s="318" t="str">
        <f>IF(ISBLANK(A33),"",VLOOKUP(B33,Ceilings!$A$4:$F$203,3,0))</f>
        <v/>
      </c>
      <c r="H33" s="318" t="str">
        <f t="shared" si="2"/>
        <v/>
      </c>
      <c r="I33" s="319"/>
      <c r="J33" s="318" t="str">
        <f>IF(ISBLANK(A33),"",VLOOKUP(B33,Ceilings!$A$4:$F$203,4,0))</f>
        <v/>
      </c>
      <c r="K33" s="318" t="str">
        <f t="shared" si="3"/>
        <v/>
      </c>
      <c r="L33" s="319"/>
      <c r="M33" s="318" t="str">
        <f>IF(ISBLANK(A33),"",VLOOKUP(B33,Ceilings!$A$4:$F$203,5,0))</f>
        <v/>
      </c>
      <c r="N33" s="318" t="str">
        <f t="shared" si="4"/>
        <v/>
      </c>
      <c r="O33" s="319"/>
      <c r="P33" s="318" t="str">
        <f>IF(ISBLANK(A33),"",VLOOKUP(B33,Ceilings!$A$4:$F$203,6,0))</f>
        <v/>
      </c>
      <c r="Q33" s="233" t="str">
        <f t="shared" si="5"/>
        <v/>
      </c>
    </row>
    <row r="34" spans="1:17">
      <c r="A34" s="313"/>
      <c r="B34" s="314" t="str">
        <f>IF(ISBLANK(A34),"",VLOOKUP(A34,Management!$A$11:$C$25,2,0))</f>
        <v/>
      </c>
      <c r="C34" s="315"/>
      <c r="D34" s="93" t="str">
        <f t="shared" si="0"/>
        <v/>
      </c>
      <c r="E34" s="316" t="str">
        <f t="shared" si="1"/>
        <v/>
      </c>
      <c r="F34" s="317"/>
      <c r="G34" s="318" t="str">
        <f>IF(ISBLANK(A34),"",VLOOKUP(B34,Ceilings!$A$4:$F$203,3,0))</f>
        <v/>
      </c>
      <c r="H34" s="318" t="str">
        <f t="shared" si="2"/>
        <v/>
      </c>
      <c r="I34" s="319"/>
      <c r="J34" s="318" t="str">
        <f>IF(ISBLANK(A34),"",VLOOKUP(B34,Ceilings!$A$4:$F$203,4,0))</f>
        <v/>
      </c>
      <c r="K34" s="318" t="str">
        <f t="shared" si="3"/>
        <v/>
      </c>
      <c r="L34" s="319"/>
      <c r="M34" s="318" t="str">
        <f>IF(ISBLANK(A34),"",VLOOKUP(B34,Ceilings!$A$4:$F$203,5,0))</f>
        <v/>
      </c>
      <c r="N34" s="318" t="str">
        <f t="shared" si="4"/>
        <v/>
      </c>
      <c r="O34" s="319"/>
      <c r="P34" s="318" t="str">
        <f>IF(ISBLANK(A34),"",VLOOKUP(B34,Ceilings!$A$4:$F$203,6,0))</f>
        <v/>
      </c>
      <c r="Q34" s="233" t="str">
        <f t="shared" si="5"/>
        <v/>
      </c>
    </row>
    <row r="35" spans="1:17">
      <c r="A35" s="313"/>
      <c r="B35" s="314" t="str">
        <f>IF(ISBLANK(A35),"",VLOOKUP(A35,Management!$A$11:$C$25,2,0))</f>
        <v/>
      </c>
      <c r="C35" s="315"/>
      <c r="D35" s="93" t="str">
        <f t="shared" si="0"/>
        <v/>
      </c>
      <c r="E35" s="316" t="str">
        <f t="shared" si="1"/>
        <v/>
      </c>
      <c r="F35" s="317"/>
      <c r="G35" s="318" t="str">
        <f>IF(ISBLANK(A35),"",VLOOKUP(B35,Ceilings!$A$4:$F$203,3,0))</f>
        <v/>
      </c>
      <c r="H35" s="318" t="str">
        <f t="shared" si="2"/>
        <v/>
      </c>
      <c r="I35" s="319"/>
      <c r="J35" s="318" t="str">
        <f>IF(ISBLANK(A35),"",VLOOKUP(B35,Ceilings!$A$4:$F$203,4,0))</f>
        <v/>
      </c>
      <c r="K35" s="318" t="str">
        <f t="shared" si="3"/>
        <v/>
      </c>
      <c r="L35" s="319"/>
      <c r="M35" s="318" t="str">
        <f>IF(ISBLANK(A35),"",VLOOKUP(B35,Ceilings!$A$4:$F$203,5,0))</f>
        <v/>
      </c>
      <c r="N35" s="318" t="str">
        <f t="shared" si="4"/>
        <v/>
      </c>
      <c r="O35" s="319"/>
      <c r="P35" s="318" t="str">
        <f>IF(ISBLANK(A35),"",VLOOKUP(B35,Ceilings!$A$4:$F$203,6,0))</f>
        <v/>
      </c>
      <c r="Q35" s="233" t="str">
        <f t="shared" si="5"/>
        <v/>
      </c>
    </row>
    <row r="36" spans="1:17">
      <c r="A36" s="313"/>
      <c r="B36" s="314" t="str">
        <f>IF(ISBLANK(A36),"",VLOOKUP(A36,Management!$A$11:$C$25,2,0))</f>
        <v/>
      </c>
      <c r="C36" s="315"/>
      <c r="D36" s="93" t="str">
        <f t="shared" si="0"/>
        <v/>
      </c>
      <c r="E36" s="316" t="str">
        <f t="shared" si="1"/>
        <v/>
      </c>
      <c r="F36" s="317"/>
      <c r="G36" s="318" t="str">
        <f>IF(ISBLANK(A36),"",VLOOKUP(B36,Ceilings!$A$4:$F$203,3,0))</f>
        <v/>
      </c>
      <c r="H36" s="318" t="str">
        <f t="shared" si="2"/>
        <v/>
      </c>
      <c r="I36" s="319"/>
      <c r="J36" s="318" t="str">
        <f>IF(ISBLANK(A36),"",VLOOKUP(B36,Ceilings!$A$4:$F$203,4,0))</f>
        <v/>
      </c>
      <c r="K36" s="318" t="str">
        <f t="shared" si="3"/>
        <v/>
      </c>
      <c r="L36" s="319"/>
      <c r="M36" s="318" t="str">
        <f>IF(ISBLANK(A36),"",VLOOKUP(B36,Ceilings!$A$4:$F$203,5,0))</f>
        <v/>
      </c>
      <c r="N36" s="318" t="str">
        <f t="shared" si="4"/>
        <v/>
      </c>
      <c r="O36" s="319"/>
      <c r="P36" s="318" t="str">
        <f>IF(ISBLANK(A36),"",VLOOKUP(B36,Ceilings!$A$4:$F$203,6,0))</f>
        <v/>
      </c>
      <c r="Q36" s="233" t="str">
        <f t="shared" si="5"/>
        <v/>
      </c>
    </row>
    <row r="37" spans="1:17">
      <c r="A37" s="313"/>
      <c r="B37" s="314" t="str">
        <f>IF(ISBLANK(A37),"",VLOOKUP(A37,Management!$A$11:$C$25,2,0))</f>
        <v/>
      </c>
      <c r="C37" s="315"/>
      <c r="D37" s="93" t="str">
        <f t="shared" si="0"/>
        <v/>
      </c>
      <c r="E37" s="316" t="str">
        <f t="shared" si="1"/>
        <v/>
      </c>
      <c r="F37" s="317"/>
      <c r="G37" s="318" t="str">
        <f>IF(ISBLANK(A37),"",VLOOKUP(B37,Ceilings!$A$4:$F$203,3,0))</f>
        <v/>
      </c>
      <c r="H37" s="318" t="str">
        <f t="shared" si="2"/>
        <v/>
      </c>
      <c r="I37" s="319"/>
      <c r="J37" s="318" t="str">
        <f>IF(ISBLANK(A37),"",VLOOKUP(B37,Ceilings!$A$4:$F$203,4,0))</f>
        <v/>
      </c>
      <c r="K37" s="318" t="str">
        <f t="shared" si="3"/>
        <v/>
      </c>
      <c r="L37" s="319"/>
      <c r="M37" s="318" t="str">
        <f>IF(ISBLANK(A37),"",VLOOKUP(B37,Ceilings!$A$4:$F$203,5,0))</f>
        <v/>
      </c>
      <c r="N37" s="318" t="str">
        <f t="shared" si="4"/>
        <v/>
      </c>
      <c r="O37" s="319"/>
      <c r="P37" s="318" t="str">
        <f>IF(ISBLANK(A37),"",VLOOKUP(B37,Ceilings!$A$4:$F$203,6,0))</f>
        <v/>
      </c>
      <c r="Q37" s="233" t="str">
        <f t="shared" si="5"/>
        <v/>
      </c>
    </row>
    <row r="38" spans="1:17">
      <c r="A38" s="313"/>
      <c r="B38" s="314" t="str">
        <f>IF(ISBLANK(A38),"",VLOOKUP(A38,Management!$A$11:$C$25,2,0))</f>
        <v/>
      </c>
      <c r="C38" s="315"/>
      <c r="D38" s="93" t="str">
        <f t="shared" si="0"/>
        <v/>
      </c>
      <c r="E38" s="316" t="str">
        <f t="shared" si="1"/>
        <v/>
      </c>
      <c r="F38" s="317"/>
      <c r="G38" s="318" t="str">
        <f>IF(ISBLANK(A38),"",VLOOKUP(B38,Ceilings!$A$4:$F$203,3,0))</f>
        <v/>
      </c>
      <c r="H38" s="318" t="str">
        <f t="shared" si="2"/>
        <v/>
      </c>
      <c r="I38" s="319"/>
      <c r="J38" s="318" t="str">
        <f>IF(ISBLANK(A38),"",VLOOKUP(B38,Ceilings!$A$4:$F$203,4,0))</f>
        <v/>
      </c>
      <c r="K38" s="318" t="str">
        <f t="shared" si="3"/>
        <v/>
      </c>
      <c r="L38" s="319"/>
      <c r="M38" s="318" t="str">
        <f>IF(ISBLANK(A38),"",VLOOKUP(B38,Ceilings!$A$4:$F$203,5,0))</f>
        <v/>
      </c>
      <c r="N38" s="318" t="str">
        <f t="shared" si="4"/>
        <v/>
      </c>
      <c r="O38" s="319"/>
      <c r="P38" s="318" t="str">
        <f>IF(ISBLANK(A38),"",VLOOKUP(B38,Ceilings!$A$4:$F$203,6,0))</f>
        <v/>
      </c>
      <c r="Q38" s="233" t="str">
        <f t="shared" si="5"/>
        <v/>
      </c>
    </row>
    <row r="39" spans="1:17">
      <c r="A39" s="313"/>
      <c r="B39" s="314" t="str">
        <f>IF(ISBLANK(A39),"",VLOOKUP(A39,Management!$A$11:$C$25,2,0))</f>
        <v/>
      </c>
      <c r="C39" s="315"/>
      <c r="D39" s="93" t="str">
        <f t="shared" si="0"/>
        <v/>
      </c>
      <c r="E39" s="316" t="str">
        <f t="shared" si="1"/>
        <v/>
      </c>
      <c r="F39" s="317"/>
      <c r="G39" s="318" t="str">
        <f>IF(ISBLANK(A39),"",VLOOKUP(B39,Ceilings!$A$4:$F$203,3,0))</f>
        <v/>
      </c>
      <c r="H39" s="318" t="str">
        <f t="shared" si="2"/>
        <v/>
      </c>
      <c r="I39" s="319"/>
      <c r="J39" s="318" t="str">
        <f>IF(ISBLANK(A39),"",VLOOKUP(B39,Ceilings!$A$4:$F$203,4,0))</f>
        <v/>
      </c>
      <c r="K39" s="318" t="str">
        <f t="shared" si="3"/>
        <v/>
      </c>
      <c r="L39" s="319"/>
      <c r="M39" s="318" t="str">
        <f>IF(ISBLANK(A39),"",VLOOKUP(B39,Ceilings!$A$4:$F$203,5,0))</f>
        <v/>
      </c>
      <c r="N39" s="318" t="str">
        <f t="shared" si="4"/>
        <v/>
      </c>
      <c r="O39" s="319"/>
      <c r="P39" s="318" t="str">
        <f>IF(ISBLANK(A39),"",VLOOKUP(B39,Ceilings!$A$4:$F$203,6,0))</f>
        <v/>
      </c>
      <c r="Q39" s="233" t="str">
        <f t="shared" si="5"/>
        <v/>
      </c>
    </row>
    <row r="40" spans="1:17">
      <c r="A40" s="313"/>
      <c r="B40" s="314" t="str">
        <f>IF(ISBLANK(A40),"",VLOOKUP(A40,Management!$A$11:$C$25,2,0))</f>
        <v/>
      </c>
      <c r="C40" s="315"/>
      <c r="D40" s="93" t="str">
        <f t="shared" si="0"/>
        <v/>
      </c>
      <c r="E40" s="316" t="str">
        <f t="shared" si="1"/>
        <v/>
      </c>
      <c r="F40" s="317"/>
      <c r="G40" s="318" t="str">
        <f>IF(ISBLANK(A40),"",VLOOKUP(B40,Ceilings!$A$4:$F$203,3,0))</f>
        <v/>
      </c>
      <c r="H40" s="318" t="str">
        <f t="shared" si="2"/>
        <v/>
      </c>
      <c r="I40" s="319"/>
      <c r="J40" s="318" t="str">
        <f>IF(ISBLANK(A40),"",VLOOKUP(B40,Ceilings!$A$4:$F$203,4,0))</f>
        <v/>
      </c>
      <c r="K40" s="318" t="str">
        <f t="shared" si="3"/>
        <v/>
      </c>
      <c r="L40" s="319"/>
      <c r="M40" s="318" t="str">
        <f>IF(ISBLANK(A40),"",VLOOKUP(B40,Ceilings!$A$4:$F$203,5,0))</f>
        <v/>
      </c>
      <c r="N40" s="318" t="str">
        <f t="shared" si="4"/>
        <v/>
      </c>
      <c r="O40" s="319"/>
      <c r="P40" s="318" t="str">
        <f>IF(ISBLANK(A40),"",VLOOKUP(B40,Ceilings!$A$4:$F$203,6,0))</f>
        <v/>
      </c>
      <c r="Q40" s="233" t="str">
        <f t="shared" si="5"/>
        <v/>
      </c>
    </row>
    <row r="41" spans="1:17">
      <c r="A41" s="313"/>
      <c r="B41" s="314" t="str">
        <f>IF(ISBLANK(A41),"",VLOOKUP(A41,Management!$A$11:$C$25,2,0))</f>
        <v/>
      </c>
      <c r="C41" s="315"/>
      <c r="D41" s="93" t="str">
        <f t="shared" si="0"/>
        <v/>
      </c>
      <c r="E41" s="316" t="str">
        <f t="shared" si="1"/>
        <v/>
      </c>
      <c r="F41" s="317"/>
      <c r="G41" s="318" t="str">
        <f>IF(ISBLANK(A41),"",VLOOKUP(B41,Ceilings!$A$4:$F$203,3,0))</f>
        <v/>
      </c>
      <c r="H41" s="318" t="str">
        <f t="shared" si="2"/>
        <v/>
      </c>
      <c r="I41" s="319"/>
      <c r="J41" s="318" t="str">
        <f>IF(ISBLANK(A41),"",VLOOKUP(B41,Ceilings!$A$4:$F$203,4,0))</f>
        <v/>
      </c>
      <c r="K41" s="318" t="str">
        <f t="shared" si="3"/>
        <v/>
      </c>
      <c r="L41" s="319"/>
      <c r="M41" s="318" t="str">
        <f>IF(ISBLANK(A41),"",VLOOKUP(B41,Ceilings!$A$4:$F$203,5,0))</f>
        <v/>
      </c>
      <c r="N41" s="318" t="str">
        <f t="shared" si="4"/>
        <v/>
      </c>
      <c r="O41" s="319"/>
      <c r="P41" s="318" t="str">
        <f>IF(ISBLANK(A41),"",VLOOKUP(B41,Ceilings!$A$4:$F$203,6,0))</f>
        <v/>
      </c>
      <c r="Q41" s="233" t="str">
        <f t="shared" si="5"/>
        <v/>
      </c>
    </row>
    <row r="42" spans="1:17">
      <c r="A42" s="313"/>
      <c r="B42" s="314" t="str">
        <f>IF(ISBLANK(A42),"",VLOOKUP(A42,Management!$A$11:$C$25,2,0))</f>
        <v/>
      </c>
      <c r="C42" s="315"/>
      <c r="D42" s="93" t="str">
        <f t="shared" si="0"/>
        <v/>
      </c>
      <c r="E42" s="316" t="str">
        <f t="shared" si="1"/>
        <v/>
      </c>
      <c r="F42" s="317"/>
      <c r="G42" s="318" t="str">
        <f>IF(ISBLANK(A42),"",VLOOKUP(B42,Ceilings!$A$4:$F$203,3,0))</f>
        <v/>
      </c>
      <c r="H42" s="318" t="str">
        <f t="shared" si="2"/>
        <v/>
      </c>
      <c r="I42" s="319"/>
      <c r="J42" s="318" t="str">
        <f>IF(ISBLANK(A42),"",VLOOKUP(B42,Ceilings!$A$4:$F$203,4,0))</f>
        <v/>
      </c>
      <c r="K42" s="318" t="str">
        <f t="shared" si="3"/>
        <v/>
      </c>
      <c r="L42" s="319"/>
      <c r="M42" s="318" t="str">
        <f>IF(ISBLANK(A42),"",VLOOKUP(B42,Ceilings!$A$4:$F$203,5,0))</f>
        <v/>
      </c>
      <c r="N42" s="318" t="str">
        <f t="shared" si="4"/>
        <v/>
      </c>
      <c r="O42" s="319"/>
      <c r="P42" s="318" t="str">
        <f>IF(ISBLANK(A42),"",VLOOKUP(B42,Ceilings!$A$4:$F$203,6,0))</f>
        <v/>
      </c>
      <c r="Q42" s="233" t="str">
        <f t="shared" si="5"/>
        <v/>
      </c>
    </row>
    <row r="43" spans="1:17">
      <c r="A43" s="313"/>
      <c r="B43" s="314" t="str">
        <f>IF(ISBLANK(A43),"",VLOOKUP(A43,Management!$A$11:$C$25,2,0))</f>
        <v/>
      </c>
      <c r="C43" s="315"/>
      <c r="D43" s="93" t="str">
        <f t="shared" si="0"/>
        <v/>
      </c>
      <c r="E43" s="316" t="str">
        <f t="shared" si="1"/>
        <v/>
      </c>
      <c r="F43" s="317"/>
      <c r="G43" s="318" t="str">
        <f>IF(ISBLANK(A43),"",VLOOKUP(B43,Ceilings!$A$4:$F$203,3,0))</f>
        <v/>
      </c>
      <c r="H43" s="318" t="str">
        <f t="shared" si="2"/>
        <v/>
      </c>
      <c r="I43" s="319"/>
      <c r="J43" s="318" t="str">
        <f>IF(ISBLANK(A43),"",VLOOKUP(B43,Ceilings!$A$4:$F$203,4,0))</f>
        <v/>
      </c>
      <c r="K43" s="318" t="str">
        <f t="shared" si="3"/>
        <v/>
      </c>
      <c r="L43" s="319"/>
      <c r="M43" s="318" t="str">
        <f>IF(ISBLANK(A43),"",VLOOKUP(B43,Ceilings!$A$4:$F$203,5,0))</f>
        <v/>
      </c>
      <c r="N43" s="318" t="str">
        <f t="shared" si="4"/>
        <v/>
      </c>
      <c r="O43" s="319"/>
      <c r="P43" s="318" t="str">
        <f>IF(ISBLANK(A43),"",VLOOKUP(B43,Ceilings!$A$4:$F$203,6,0))</f>
        <v/>
      </c>
      <c r="Q43" s="233" t="str">
        <f t="shared" si="5"/>
        <v/>
      </c>
    </row>
    <row r="44" spans="1:17">
      <c r="A44" s="313"/>
      <c r="B44" s="314" t="str">
        <f>IF(ISBLANK(A44),"",VLOOKUP(A44,Management!$A$11:$C$25,2,0))</f>
        <v/>
      </c>
      <c r="C44" s="315"/>
      <c r="D44" s="93" t="str">
        <f t="shared" si="0"/>
        <v/>
      </c>
      <c r="E44" s="316" t="str">
        <f t="shared" si="1"/>
        <v/>
      </c>
      <c r="F44" s="317"/>
      <c r="G44" s="318" t="str">
        <f>IF(ISBLANK(A44),"",VLOOKUP(B44,Ceilings!$A$4:$F$203,3,0))</f>
        <v/>
      </c>
      <c r="H44" s="318" t="str">
        <f t="shared" si="2"/>
        <v/>
      </c>
      <c r="I44" s="319"/>
      <c r="J44" s="318" t="str">
        <f>IF(ISBLANK(A44),"",VLOOKUP(B44,Ceilings!$A$4:$F$203,4,0))</f>
        <v/>
      </c>
      <c r="K44" s="318" t="str">
        <f t="shared" si="3"/>
        <v/>
      </c>
      <c r="L44" s="319"/>
      <c r="M44" s="318" t="str">
        <f>IF(ISBLANK(A44),"",VLOOKUP(B44,Ceilings!$A$4:$F$203,5,0))</f>
        <v/>
      </c>
      <c r="N44" s="318" t="str">
        <f t="shared" si="4"/>
        <v/>
      </c>
      <c r="O44" s="319"/>
      <c r="P44" s="318" t="str">
        <f>IF(ISBLANK(A44),"",VLOOKUP(B44,Ceilings!$A$4:$F$203,6,0))</f>
        <v/>
      </c>
      <c r="Q44" s="233" t="str">
        <f t="shared" si="5"/>
        <v/>
      </c>
    </row>
    <row r="45" spans="1:17">
      <c r="A45" s="313"/>
      <c r="B45" s="314" t="str">
        <f>IF(ISBLANK(A45),"",VLOOKUP(A45,Management!$A$11:$C$25,2,0))</f>
        <v/>
      </c>
      <c r="C45" s="315"/>
      <c r="D45" s="93" t="str">
        <f t="shared" si="0"/>
        <v/>
      </c>
      <c r="E45" s="316" t="str">
        <f t="shared" si="1"/>
        <v/>
      </c>
      <c r="F45" s="317"/>
      <c r="G45" s="318" t="str">
        <f>IF(ISBLANK(A45),"",VLOOKUP(B45,Ceilings!$A$4:$F$203,3,0))</f>
        <v/>
      </c>
      <c r="H45" s="318" t="str">
        <f t="shared" si="2"/>
        <v/>
      </c>
      <c r="I45" s="319"/>
      <c r="J45" s="318" t="str">
        <f>IF(ISBLANK(A45),"",VLOOKUP(B45,Ceilings!$A$4:$F$203,4,0))</f>
        <v/>
      </c>
      <c r="K45" s="318" t="str">
        <f t="shared" si="3"/>
        <v/>
      </c>
      <c r="L45" s="319"/>
      <c r="M45" s="318" t="str">
        <f>IF(ISBLANK(A45),"",VLOOKUP(B45,Ceilings!$A$4:$F$203,5,0))</f>
        <v/>
      </c>
      <c r="N45" s="318" t="str">
        <f t="shared" si="4"/>
        <v/>
      </c>
      <c r="O45" s="319"/>
      <c r="P45" s="318" t="str">
        <f>IF(ISBLANK(A45),"",VLOOKUP(B45,Ceilings!$A$4:$F$203,6,0))</f>
        <v/>
      </c>
      <c r="Q45" s="233" t="str">
        <f t="shared" si="5"/>
        <v/>
      </c>
    </row>
    <row r="46" spans="1:17">
      <c r="A46" s="313"/>
      <c r="B46" s="314" t="str">
        <f>IF(ISBLANK(A46),"",VLOOKUP(A46,Management!$A$11:$C$25,2,0))</f>
        <v/>
      </c>
      <c r="C46" s="315"/>
      <c r="D46" s="93" t="str">
        <f t="shared" si="0"/>
        <v/>
      </c>
      <c r="E46" s="316" t="str">
        <f t="shared" si="1"/>
        <v/>
      </c>
      <c r="F46" s="317"/>
      <c r="G46" s="318" t="str">
        <f>IF(ISBLANK(A46),"",VLOOKUP(B46,Ceilings!$A$4:$F$203,3,0))</f>
        <v/>
      </c>
      <c r="H46" s="318" t="str">
        <f t="shared" si="2"/>
        <v/>
      </c>
      <c r="I46" s="319"/>
      <c r="J46" s="318" t="str">
        <f>IF(ISBLANK(A46),"",VLOOKUP(B46,Ceilings!$A$4:$F$203,4,0))</f>
        <v/>
      </c>
      <c r="K46" s="318" t="str">
        <f t="shared" si="3"/>
        <v/>
      </c>
      <c r="L46" s="319"/>
      <c r="M46" s="318" t="str">
        <f>IF(ISBLANK(A46),"",VLOOKUP(B46,Ceilings!$A$4:$F$203,5,0))</f>
        <v/>
      </c>
      <c r="N46" s="318" t="str">
        <f t="shared" si="4"/>
        <v/>
      </c>
      <c r="O46" s="319"/>
      <c r="P46" s="318" t="str">
        <f>IF(ISBLANK(A46),"",VLOOKUP(B46,Ceilings!$A$4:$F$203,6,0))</f>
        <v/>
      </c>
      <c r="Q46" s="233" t="str">
        <f t="shared" si="5"/>
        <v/>
      </c>
    </row>
    <row r="47" spans="1:17">
      <c r="A47" s="313"/>
      <c r="B47" s="314" t="str">
        <f>IF(ISBLANK(A47),"",VLOOKUP(A47,Management!$A$11:$C$25,2,0))</f>
        <v/>
      </c>
      <c r="C47" s="315"/>
      <c r="D47" s="93" t="str">
        <f t="shared" si="0"/>
        <v/>
      </c>
      <c r="E47" s="316" t="str">
        <f t="shared" si="1"/>
        <v/>
      </c>
      <c r="F47" s="317"/>
      <c r="G47" s="318" t="str">
        <f>IF(ISBLANK(A47),"",VLOOKUP(B47,Ceilings!$A$4:$F$203,3,0))</f>
        <v/>
      </c>
      <c r="H47" s="318" t="str">
        <f t="shared" si="2"/>
        <v/>
      </c>
      <c r="I47" s="319"/>
      <c r="J47" s="318" t="str">
        <f>IF(ISBLANK(A47),"",VLOOKUP(B47,Ceilings!$A$4:$F$203,4,0))</f>
        <v/>
      </c>
      <c r="K47" s="318" t="str">
        <f t="shared" si="3"/>
        <v/>
      </c>
      <c r="L47" s="319"/>
      <c r="M47" s="318" t="str">
        <f>IF(ISBLANK(A47),"",VLOOKUP(B47,Ceilings!$A$4:$F$203,5,0))</f>
        <v/>
      </c>
      <c r="N47" s="318" t="str">
        <f t="shared" si="4"/>
        <v/>
      </c>
      <c r="O47" s="319"/>
      <c r="P47" s="318" t="str">
        <f>IF(ISBLANK(A47),"",VLOOKUP(B47,Ceilings!$A$4:$F$203,6,0))</f>
        <v/>
      </c>
      <c r="Q47" s="233" t="str">
        <f t="shared" si="5"/>
        <v/>
      </c>
    </row>
    <row r="48" spans="1:17">
      <c r="A48" s="313"/>
      <c r="B48" s="314" t="str">
        <f>IF(ISBLANK(A48),"",VLOOKUP(A48,Management!$A$11:$C$25,2,0))</f>
        <v/>
      </c>
      <c r="C48" s="315"/>
      <c r="D48" s="93" t="str">
        <f t="shared" si="0"/>
        <v/>
      </c>
      <c r="E48" s="316" t="str">
        <f t="shared" si="1"/>
        <v/>
      </c>
      <c r="F48" s="317"/>
      <c r="G48" s="318" t="str">
        <f>IF(ISBLANK(A48),"",VLOOKUP(B48,Ceilings!$A$4:$F$203,3,0))</f>
        <v/>
      </c>
      <c r="H48" s="318" t="str">
        <f t="shared" si="2"/>
        <v/>
      </c>
      <c r="I48" s="319"/>
      <c r="J48" s="318" t="str">
        <f>IF(ISBLANK(A48),"",VLOOKUP(B48,Ceilings!$A$4:$F$203,4,0))</f>
        <v/>
      </c>
      <c r="K48" s="318" t="str">
        <f t="shared" si="3"/>
        <v/>
      </c>
      <c r="L48" s="319"/>
      <c r="M48" s="318" t="str">
        <f>IF(ISBLANK(A48),"",VLOOKUP(B48,Ceilings!$A$4:$F$203,5,0))</f>
        <v/>
      </c>
      <c r="N48" s="318" t="str">
        <f t="shared" si="4"/>
        <v/>
      </c>
      <c r="O48" s="319"/>
      <c r="P48" s="318" t="str">
        <f>IF(ISBLANK(A48),"",VLOOKUP(B48,Ceilings!$A$4:$F$203,6,0))</f>
        <v/>
      </c>
      <c r="Q48" s="233" t="str">
        <f t="shared" si="5"/>
        <v/>
      </c>
    </row>
    <row r="49" spans="1:17">
      <c r="A49" s="313"/>
      <c r="B49" s="314" t="str">
        <f>IF(ISBLANK(A49),"",VLOOKUP(A49,Management!$A$11:$C$25,2,0))</f>
        <v/>
      </c>
      <c r="C49" s="315"/>
      <c r="D49" s="93" t="str">
        <f t="shared" si="0"/>
        <v/>
      </c>
      <c r="E49" s="316" t="str">
        <f t="shared" si="1"/>
        <v/>
      </c>
      <c r="F49" s="317"/>
      <c r="G49" s="318" t="str">
        <f>IF(ISBLANK(A49),"",VLOOKUP(B49,Ceilings!$A$4:$F$203,3,0))</f>
        <v/>
      </c>
      <c r="H49" s="318" t="str">
        <f t="shared" si="2"/>
        <v/>
      </c>
      <c r="I49" s="319"/>
      <c r="J49" s="318" t="str">
        <f>IF(ISBLANK(A49),"",VLOOKUP(B49,Ceilings!$A$4:$F$203,4,0))</f>
        <v/>
      </c>
      <c r="K49" s="318" t="str">
        <f t="shared" si="3"/>
        <v/>
      </c>
      <c r="L49" s="319"/>
      <c r="M49" s="318" t="str">
        <f>IF(ISBLANK(A49),"",VLOOKUP(B49,Ceilings!$A$4:$F$203,5,0))</f>
        <v/>
      </c>
      <c r="N49" s="318" t="str">
        <f t="shared" si="4"/>
        <v/>
      </c>
      <c r="O49" s="319"/>
      <c r="P49" s="318" t="str">
        <f>IF(ISBLANK(A49),"",VLOOKUP(B49,Ceilings!$A$4:$F$203,6,0))</f>
        <v/>
      </c>
      <c r="Q49" s="233" t="str">
        <f t="shared" si="5"/>
        <v/>
      </c>
    </row>
    <row r="50" spans="1:17">
      <c r="A50" s="313"/>
      <c r="B50" s="314" t="str">
        <f>IF(ISBLANK(A50),"",VLOOKUP(A50,Management!$A$11:$C$25,2,0))</f>
        <v/>
      </c>
      <c r="C50" s="315"/>
      <c r="D50" s="93" t="str">
        <f t="shared" si="0"/>
        <v/>
      </c>
      <c r="E50" s="316" t="str">
        <f t="shared" si="1"/>
        <v/>
      </c>
      <c r="F50" s="317"/>
      <c r="G50" s="318" t="str">
        <f>IF(ISBLANK(A50),"",VLOOKUP(B50,Ceilings!$A$4:$F$203,3,0))</f>
        <v/>
      </c>
      <c r="H50" s="318" t="str">
        <f t="shared" si="2"/>
        <v/>
      </c>
      <c r="I50" s="319"/>
      <c r="J50" s="318" t="str">
        <f>IF(ISBLANK(A50),"",VLOOKUP(B50,Ceilings!$A$4:$F$203,4,0))</f>
        <v/>
      </c>
      <c r="K50" s="318" t="str">
        <f t="shared" si="3"/>
        <v/>
      </c>
      <c r="L50" s="319"/>
      <c r="M50" s="318" t="str">
        <f>IF(ISBLANK(A50),"",VLOOKUP(B50,Ceilings!$A$4:$F$203,5,0))</f>
        <v/>
      </c>
      <c r="N50" s="318" t="str">
        <f t="shared" si="4"/>
        <v/>
      </c>
      <c r="O50" s="319"/>
      <c r="P50" s="318" t="str">
        <f>IF(ISBLANK(A50),"",VLOOKUP(B50,Ceilings!$A$4:$F$203,6,0))</f>
        <v/>
      </c>
      <c r="Q50" s="233" t="str">
        <f t="shared" si="5"/>
        <v/>
      </c>
    </row>
    <row r="51" spans="1:17">
      <c r="A51" s="313"/>
      <c r="B51" s="314" t="str">
        <f>IF(ISBLANK(A51),"",VLOOKUP(A51,Management!$A$11:$C$25,2,0))</f>
        <v/>
      </c>
      <c r="C51" s="315"/>
      <c r="D51" s="93" t="str">
        <f t="shared" si="0"/>
        <v/>
      </c>
      <c r="E51" s="316" t="str">
        <f t="shared" si="1"/>
        <v/>
      </c>
      <c r="F51" s="317"/>
      <c r="G51" s="318" t="str">
        <f>IF(ISBLANK(A51),"",VLOOKUP(B51,Ceilings!$A$4:$F$203,3,0))</f>
        <v/>
      </c>
      <c r="H51" s="318" t="str">
        <f t="shared" si="2"/>
        <v/>
      </c>
      <c r="I51" s="319"/>
      <c r="J51" s="318" t="str">
        <f>IF(ISBLANK(A51),"",VLOOKUP(B51,Ceilings!$A$4:$F$203,4,0))</f>
        <v/>
      </c>
      <c r="K51" s="318" t="str">
        <f t="shared" si="3"/>
        <v/>
      </c>
      <c r="L51" s="319"/>
      <c r="M51" s="318" t="str">
        <f>IF(ISBLANK(A51),"",VLOOKUP(B51,Ceilings!$A$4:$F$203,5,0))</f>
        <v/>
      </c>
      <c r="N51" s="318" t="str">
        <f t="shared" si="4"/>
        <v/>
      </c>
      <c r="O51" s="319"/>
      <c r="P51" s="318" t="str">
        <f>IF(ISBLANK(A51),"",VLOOKUP(B51,Ceilings!$A$4:$F$203,6,0))</f>
        <v/>
      </c>
      <c r="Q51" s="233" t="str">
        <f t="shared" si="5"/>
        <v/>
      </c>
    </row>
    <row r="52" spans="1:17">
      <c r="A52" s="313"/>
      <c r="B52" s="314" t="str">
        <f>IF(ISBLANK(A52),"",VLOOKUP(A52,Management!$A$11:$C$25,2,0))</f>
        <v/>
      </c>
      <c r="C52" s="315"/>
      <c r="D52" s="93" t="str">
        <f t="shared" si="0"/>
        <v/>
      </c>
      <c r="E52" s="316" t="str">
        <f t="shared" si="1"/>
        <v/>
      </c>
      <c r="F52" s="317"/>
      <c r="G52" s="318" t="str">
        <f>IF(ISBLANK(A52),"",VLOOKUP(B52,Ceilings!$A$4:$F$203,3,0))</f>
        <v/>
      </c>
      <c r="H52" s="318" t="str">
        <f t="shared" si="2"/>
        <v/>
      </c>
      <c r="I52" s="319"/>
      <c r="J52" s="318" t="str">
        <f>IF(ISBLANK(A52),"",VLOOKUP(B52,Ceilings!$A$4:$F$203,4,0))</f>
        <v/>
      </c>
      <c r="K52" s="318" t="str">
        <f t="shared" si="3"/>
        <v/>
      </c>
      <c r="L52" s="319"/>
      <c r="M52" s="318" t="str">
        <f>IF(ISBLANK(A52),"",VLOOKUP(B52,Ceilings!$A$4:$F$203,5,0))</f>
        <v/>
      </c>
      <c r="N52" s="318" t="str">
        <f t="shared" si="4"/>
        <v/>
      </c>
      <c r="O52" s="319"/>
      <c r="P52" s="318" t="str">
        <f>IF(ISBLANK(A52),"",VLOOKUP(B52,Ceilings!$A$4:$F$203,6,0))</f>
        <v/>
      </c>
      <c r="Q52" s="233" t="str">
        <f t="shared" si="5"/>
        <v/>
      </c>
    </row>
    <row r="53" spans="1:17">
      <c r="A53" s="313"/>
      <c r="B53" s="314" t="str">
        <f>IF(ISBLANK(A53),"",VLOOKUP(A53,Management!$A$11:$C$25,2,0))</f>
        <v/>
      </c>
      <c r="C53" s="315"/>
      <c r="D53" s="93" t="str">
        <f t="shared" si="0"/>
        <v/>
      </c>
      <c r="E53" s="316" t="str">
        <f t="shared" si="1"/>
        <v/>
      </c>
      <c r="F53" s="317"/>
      <c r="G53" s="318" t="str">
        <f>IF(ISBLANK(A53),"",VLOOKUP(B53,Ceilings!$A$4:$F$203,3,0))</f>
        <v/>
      </c>
      <c r="H53" s="318" t="str">
        <f t="shared" si="2"/>
        <v/>
      </c>
      <c r="I53" s="319"/>
      <c r="J53" s="318" t="str">
        <f>IF(ISBLANK(A53),"",VLOOKUP(B53,Ceilings!$A$4:$F$203,4,0))</f>
        <v/>
      </c>
      <c r="K53" s="318" t="str">
        <f t="shared" si="3"/>
        <v/>
      </c>
      <c r="L53" s="319"/>
      <c r="M53" s="318" t="str">
        <f>IF(ISBLANK(A53),"",VLOOKUP(B53,Ceilings!$A$4:$F$203,5,0))</f>
        <v/>
      </c>
      <c r="N53" s="318" t="str">
        <f t="shared" si="4"/>
        <v/>
      </c>
      <c r="O53" s="319"/>
      <c r="P53" s="318" t="str">
        <f>IF(ISBLANK(A53),"",VLOOKUP(B53,Ceilings!$A$4:$F$203,6,0))</f>
        <v/>
      </c>
      <c r="Q53" s="233" t="str">
        <f t="shared" si="5"/>
        <v/>
      </c>
    </row>
    <row r="54" spans="1:17">
      <c r="A54" s="313"/>
      <c r="B54" s="314" t="str">
        <f>IF(ISBLANK(A54),"",VLOOKUP(A54,Management!$A$11:$C$25,2,0))</f>
        <v/>
      </c>
      <c r="C54" s="315"/>
      <c r="D54" s="93" t="str">
        <f t="shared" si="0"/>
        <v/>
      </c>
      <c r="E54" s="316" t="str">
        <f t="shared" si="1"/>
        <v/>
      </c>
      <c r="F54" s="317"/>
      <c r="G54" s="318" t="str">
        <f>IF(ISBLANK(A54),"",VLOOKUP(B54,Ceilings!$A$4:$F$203,3,0))</f>
        <v/>
      </c>
      <c r="H54" s="318" t="str">
        <f t="shared" si="2"/>
        <v/>
      </c>
      <c r="I54" s="319"/>
      <c r="J54" s="318" t="str">
        <f>IF(ISBLANK(A54),"",VLOOKUP(B54,Ceilings!$A$4:$F$203,4,0))</f>
        <v/>
      </c>
      <c r="K54" s="318" t="str">
        <f t="shared" si="3"/>
        <v/>
      </c>
      <c r="L54" s="319"/>
      <c r="M54" s="318" t="str">
        <f>IF(ISBLANK(A54),"",VLOOKUP(B54,Ceilings!$A$4:$F$203,5,0))</f>
        <v/>
      </c>
      <c r="N54" s="318" t="str">
        <f t="shared" si="4"/>
        <v/>
      </c>
      <c r="O54" s="319"/>
      <c r="P54" s="318" t="str">
        <f>IF(ISBLANK(A54),"",VLOOKUP(B54,Ceilings!$A$4:$F$203,6,0))</f>
        <v/>
      </c>
      <c r="Q54" s="233" t="str">
        <f t="shared" si="5"/>
        <v/>
      </c>
    </row>
    <row r="55" spans="1:17">
      <c r="A55" s="313"/>
      <c r="B55" s="314" t="str">
        <f>IF(ISBLANK(A55),"",VLOOKUP(A55,Management!$A$11:$C$25,2,0))</f>
        <v/>
      </c>
      <c r="C55" s="315"/>
      <c r="D55" s="93" t="str">
        <f t="shared" si="0"/>
        <v/>
      </c>
      <c r="E55" s="316" t="str">
        <f t="shared" si="1"/>
        <v/>
      </c>
      <c r="F55" s="317"/>
      <c r="G55" s="318" t="str">
        <f>IF(ISBLANK(A55),"",VLOOKUP(B55,Ceilings!$A$4:$F$203,3,0))</f>
        <v/>
      </c>
      <c r="H55" s="318" t="str">
        <f t="shared" si="2"/>
        <v/>
      </c>
      <c r="I55" s="319"/>
      <c r="J55" s="318" t="str">
        <f>IF(ISBLANK(A55),"",VLOOKUP(B55,Ceilings!$A$4:$F$203,4,0))</f>
        <v/>
      </c>
      <c r="K55" s="318" t="str">
        <f t="shared" si="3"/>
        <v/>
      </c>
      <c r="L55" s="319"/>
      <c r="M55" s="318" t="str">
        <f>IF(ISBLANK(A55),"",VLOOKUP(B55,Ceilings!$A$4:$F$203,5,0))</f>
        <v/>
      </c>
      <c r="N55" s="318" t="str">
        <f t="shared" si="4"/>
        <v/>
      </c>
      <c r="O55" s="319"/>
      <c r="P55" s="318" t="str">
        <f>IF(ISBLANK(A55),"",VLOOKUP(B55,Ceilings!$A$4:$F$203,6,0))</f>
        <v/>
      </c>
      <c r="Q55" s="233" t="str">
        <f t="shared" si="5"/>
        <v/>
      </c>
    </row>
    <row r="56" spans="1:17">
      <c r="A56" s="313"/>
      <c r="B56" s="314" t="str">
        <f>IF(ISBLANK(A56),"",VLOOKUP(A56,Management!$A$11:$C$25,2,0))</f>
        <v/>
      </c>
      <c r="C56" s="315"/>
      <c r="D56" s="93" t="str">
        <f t="shared" si="0"/>
        <v/>
      </c>
      <c r="E56" s="316" t="str">
        <f t="shared" si="1"/>
        <v/>
      </c>
      <c r="F56" s="317"/>
      <c r="G56" s="318" t="str">
        <f>IF(ISBLANK(A56),"",VLOOKUP(B56,Ceilings!$A$4:$F$203,3,0))</f>
        <v/>
      </c>
      <c r="H56" s="318" t="str">
        <f t="shared" si="2"/>
        <v/>
      </c>
      <c r="I56" s="319"/>
      <c r="J56" s="318" t="str">
        <f>IF(ISBLANK(A56),"",VLOOKUP(B56,Ceilings!$A$4:$F$203,4,0))</f>
        <v/>
      </c>
      <c r="K56" s="318" t="str">
        <f t="shared" si="3"/>
        <v/>
      </c>
      <c r="L56" s="319"/>
      <c r="M56" s="318" t="str">
        <f>IF(ISBLANK(A56),"",VLOOKUP(B56,Ceilings!$A$4:$F$203,5,0))</f>
        <v/>
      </c>
      <c r="N56" s="318" t="str">
        <f t="shared" si="4"/>
        <v/>
      </c>
      <c r="O56" s="319"/>
      <c r="P56" s="318" t="str">
        <f>IF(ISBLANK(A56),"",VLOOKUP(B56,Ceilings!$A$4:$F$203,6,0))</f>
        <v/>
      </c>
      <c r="Q56" s="233" t="str">
        <f t="shared" si="5"/>
        <v/>
      </c>
    </row>
    <row r="57" spans="1:17">
      <c r="A57" s="313"/>
      <c r="B57" s="314" t="str">
        <f>IF(ISBLANK(A57),"",VLOOKUP(A57,Management!$A$11:$C$25,2,0))</f>
        <v/>
      </c>
      <c r="C57" s="315"/>
      <c r="D57" s="93" t="str">
        <f t="shared" si="0"/>
        <v/>
      </c>
      <c r="E57" s="316" t="str">
        <f t="shared" si="1"/>
        <v/>
      </c>
      <c r="F57" s="317"/>
      <c r="G57" s="318" t="str">
        <f>IF(ISBLANK(A57),"",VLOOKUP(B57,Ceilings!$A$4:$F$203,3,0))</f>
        <v/>
      </c>
      <c r="H57" s="318" t="str">
        <f t="shared" si="2"/>
        <v/>
      </c>
      <c r="I57" s="319"/>
      <c r="J57" s="318" t="str">
        <f>IF(ISBLANK(A57),"",VLOOKUP(B57,Ceilings!$A$4:$F$203,4,0))</f>
        <v/>
      </c>
      <c r="K57" s="318" t="str">
        <f t="shared" si="3"/>
        <v/>
      </c>
      <c r="L57" s="319"/>
      <c r="M57" s="318" t="str">
        <f>IF(ISBLANK(A57),"",VLOOKUP(B57,Ceilings!$A$4:$F$203,5,0))</f>
        <v/>
      </c>
      <c r="N57" s="318" t="str">
        <f t="shared" si="4"/>
        <v/>
      </c>
      <c r="O57" s="319"/>
      <c r="P57" s="318" t="str">
        <f>IF(ISBLANK(A57),"",VLOOKUP(B57,Ceilings!$A$4:$F$203,6,0))</f>
        <v/>
      </c>
      <c r="Q57" s="233" t="str">
        <f t="shared" si="5"/>
        <v/>
      </c>
    </row>
    <row r="58" spans="1:17">
      <c r="A58" s="313"/>
      <c r="B58" s="314" t="str">
        <f>IF(ISBLANK(A58),"",VLOOKUP(A58,Management!$A$11:$C$25,2,0))</f>
        <v/>
      </c>
      <c r="C58" s="315"/>
      <c r="D58" s="93" t="str">
        <f t="shared" si="0"/>
        <v/>
      </c>
      <c r="E58" s="316" t="str">
        <f t="shared" si="1"/>
        <v/>
      </c>
      <c r="F58" s="317"/>
      <c r="G58" s="318" t="str">
        <f>IF(ISBLANK(A58),"",VLOOKUP(B58,Ceilings!$A$4:$F$203,3,0))</f>
        <v/>
      </c>
      <c r="H58" s="318" t="str">
        <f t="shared" si="2"/>
        <v/>
      </c>
      <c r="I58" s="319"/>
      <c r="J58" s="318" t="str">
        <f>IF(ISBLANK(A58),"",VLOOKUP(B58,Ceilings!$A$4:$F$203,4,0))</f>
        <v/>
      </c>
      <c r="K58" s="318" t="str">
        <f t="shared" si="3"/>
        <v/>
      </c>
      <c r="L58" s="319"/>
      <c r="M58" s="318" t="str">
        <f>IF(ISBLANK(A58),"",VLOOKUP(B58,Ceilings!$A$4:$F$203,5,0))</f>
        <v/>
      </c>
      <c r="N58" s="318" t="str">
        <f t="shared" si="4"/>
        <v/>
      </c>
      <c r="O58" s="319"/>
      <c r="P58" s="318" t="str">
        <f>IF(ISBLANK(A58),"",VLOOKUP(B58,Ceilings!$A$4:$F$203,6,0))</f>
        <v/>
      </c>
      <c r="Q58" s="233" t="str">
        <f t="shared" si="5"/>
        <v/>
      </c>
    </row>
    <row r="59" spans="1:17">
      <c r="A59" s="313"/>
      <c r="B59" s="314" t="str">
        <f>IF(ISBLANK(A59),"",VLOOKUP(A59,Management!$A$11:$C$25,2,0))</f>
        <v/>
      </c>
      <c r="C59" s="315"/>
      <c r="D59" s="93" t="str">
        <f t="shared" si="0"/>
        <v/>
      </c>
      <c r="E59" s="316" t="str">
        <f t="shared" si="1"/>
        <v/>
      </c>
      <c r="F59" s="317"/>
      <c r="G59" s="318" t="str">
        <f>IF(ISBLANK(A59),"",VLOOKUP(B59,Ceilings!$A$4:$F$203,3,0))</f>
        <v/>
      </c>
      <c r="H59" s="318" t="str">
        <f t="shared" si="2"/>
        <v/>
      </c>
      <c r="I59" s="319"/>
      <c r="J59" s="318" t="str">
        <f>IF(ISBLANK(A59),"",VLOOKUP(B59,Ceilings!$A$4:$F$203,4,0))</f>
        <v/>
      </c>
      <c r="K59" s="318" t="str">
        <f t="shared" si="3"/>
        <v/>
      </c>
      <c r="L59" s="319"/>
      <c r="M59" s="318" t="str">
        <f>IF(ISBLANK(A59),"",VLOOKUP(B59,Ceilings!$A$4:$F$203,5,0))</f>
        <v/>
      </c>
      <c r="N59" s="318" t="str">
        <f t="shared" si="4"/>
        <v/>
      </c>
      <c r="O59" s="319"/>
      <c r="P59" s="318" t="str">
        <f>IF(ISBLANK(A59),"",VLOOKUP(B59,Ceilings!$A$4:$F$203,6,0))</f>
        <v/>
      </c>
      <c r="Q59" s="233" t="str">
        <f t="shared" si="5"/>
        <v/>
      </c>
    </row>
    <row r="60" spans="1:17">
      <c r="A60" s="313"/>
      <c r="B60" s="314" t="str">
        <f>IF(ISBLANK(A60),"",VLOOKUP(A60,Management!$A$11:$C$25,2,0))</f>
        <v/>
      </c>
      <c r="C60" s="315"/>
      <c r="D60" s="93" t="str">
        <f t="shared" si="0"/>
        <v/>
      </c>
      <c r="E60" s="316" t="str">
        <f t="shared" si="1"/>
        <v/>
      </c>
      <c r="F60" s="317"/>
      <c r="G60" s="318" t="str">
        <f>IF(ISBLANK(A60),"",VLOOKUP(B60,Ceilings!$A$4:$F$203,3,0))</f>
        <v/>
      </c>
      <c r="H60" s="318" t="str">
        <f t="shared" si="2"/>
        <v/>
      </c>
      <c r="I60" s="319"/>
      <c r="J60" s="318" t="str">
        <f>IF(ISBLANK(A60),"",VLOOKUP(B60,Ceilings!$A$4:$F$203,4,0))</f>
        <v/>
      </c>
      <c r="K60" s="318" t="str">
        <f t="shared" si="3"/>
        <v/>
      </c>
      <c r="L60" s="319"/>
      <c r="M60" s="318" t="str">
        <f>IF(ISBLANK(A60),"",VLOOKUP(B60,Ceilings!$A$4:$F$203,5,0))</f>
        <v/>
      </c>
      <c r="N60" s="318" t="str">
        <f t="shared" si="4"/>
        <v/>
      </c>
      <c r="O60" s="319"/>
      <c r="P60" s="318" t="str">
        <f>IF(ISBLANK(A60),"",VLOOKUP(B60,Ceilings!$A$4:$F$203,6,0))</f>
        <v/>
      </c>
      <c r="Q60" s="233" t="str">
        <f t="shared" si="5"/>
        <v/>
      </c>
    </row>
    <row r="61" spans="1:17">
      <c r="A61" s="313"/>
      <c r="B61" s="314" t="str">
        <f>IF(ISBLANK(A61),"",VLOOKUP(A61,Management!$A$11:$C$25,2,0))</f>
        <v/>
      </c>
      <c r="C61" s="315"/>
      <c r="D61" s="93" t="str">
        <f t="shared" si="0"/>
        <v/>
      </c>
      <c r="E61" s="316" t="str">
        <f t="shared" si="1"/>
        <v/>
      </c>
      <c r="F61" s="317"/>
      <c r="G61" s="318" t="str">
        <f>IF(ISBLANK(A61),"",VLOOKUP(B61,Ceilings!$A$4:$F$203,3,0))</f>
        <v/>
      </c>
      <c r="H61" s="318" t="str">
        <f t="shared" si="2"/>
        <v/>
      </c>
      <c r="I61" s="319"/>
      <c r="J61" s="318" t="str">
        <f>IF(ISBLANK(A61),"",VLOOKUP(B61,Ceilings!$A$4:$F$203,4,0))</f>
        <v/>
      </c>
      <c r="K61" s="318" t="str">
        <f t="shared" si="3"/>
        <v/>
      </c>
      <c r="L61" s="319"/>
      <c r="M61" s="318" t="str">
        <f>IF(ISBLANK(A61),"",VLOOKUP(B61,Ceilings!$A$4:$F$203,5,0))</f>
        <v/>
      </c>
      <c r="N61" s="318" t="str">
        <f t="shared" si="4"/>
        <v/>
      </c>
      <c r="O61" s="319"/>
      <c r="P61" s="318" t="str">
        <f>IF(ISBLANK(A61),"",VLOOKUP(B61,Ceilings!$A$4:$F$203,6,0))</f>
        <v/>
      </c>
      <c r="Q61" s="233" t="str">
        <f t="shared" si="5"/>
        <v/>
      </c>
    </row>
    <row r="62" spans="1:17">
      <c r="A62" s="313"/>
      <c r="B62" s="314" t="str">
        <f>IF(ISBLANK(A62),"",VLOOKUP(A62,Management!$A$11:$C$25,2,0))</f>
        <v/>
      </c>
      <c r="C62" s="315"/>
      <c r="D62" s="93" t="str">
        <f t="shared" si="0"/>
        <v/>
      </c>
      <c r="E62" s="316" t="str">
        <f t="shared" si="1"/>
        <v/>
      </c>
      <c r="F62" s="317"/>
      <c r="G62" s="318" t="str">
        <f>IF(ISBLANK(A62),"",VLOOKUP(B62,Ceilings!$A$4:$F$203,3,0))</f>
        <v/>
      </c>
      <c r="H62" s="318" t="str">
        <f t="shared" si="2"/>
        <v/>
      </c>
      <c r="I62" s="319"/>
      <c r="J62" s="318" t="str">
        <f>IF(ISBLANK(A62),"",VLOOKUP(B62,Ceilings!$A$4:$F$203,4,0))</f>
        <v/>
      </c>
      <c r="K62" s="318" t="str">
        <f t="shared" si="3"/>
        <v/>
      </c>
      <c r="L62" s="319"/>
      <c r="M62" s="318" t="str">
        <f>IF(ISBLANK(A62),"",VLOOKUP(B62,Ceilings!$A$4:$F$203,5,0))</f>
        <v/>
      </c>
      <c r="N62" s="318" t="str">
        <f t="shared" si="4"/>
        <v/>
      </c>
      <c r="O62" s="319"/>
      <c r="P62" s="318" t="str">
        <f>IF(ISBLANK(A62),"",VLOOKUP(B62,Ceilings!$A$4:$F$203,6,0))</f>
        <v/>
      </c>
      <c r="Q62" s="233" t="str">
        <f t="shared" si="5"/>
        <v/>
      </c>
    </row>
    <row r="63" spans="1:17">
      <c r="A63" s="313"/>
      <c r="B63" s="314" t="str">
        <f>IF(ISBLANK(A63),"",VLOOKUP(A63,Management!$A$11:$C$25,2,0))</f>
        <v/>
      </c>
      <c r="C63" s="315"/>
      <c r="D63" s="93" t="str">
        <f t="shared" si="0"/>
        <v/>
      </c>
      <c r="E63" s="316" t="str">
        <f t="shared" si="1"/>
        <v/>
      </c>
      <c r="F63" s="317"/>
      <c r="G63" s="318" t="str">
        <f>IF(ISBLANK(A63),"",VLOOKUP(B63,Ceilings!$A$4:$F$203,3,0))</f>
        <v/>
      </c>
      <c r="H63" s="318" t="str">
        <f t="shared" si="2"/>
        <v/>
      </c>
      <c r="I63" s="319"/>
      <c r="J63" s="318" t="str">
        <f>IF(ISBLANK(A63),"",VLOOKUP(B63,Ceilings!$A$4:$F$203,4,0))</f>
        <v/>
      </c>
      <c r="K63" s="318" t="str">
        <f t="shared" si="3"/>
        <v/>
      </c>
      <c r="L63" s="319"/>
      <c r="M63" s="318" t="str">
        <f>IF(ISBLANK(A63),"",VLOOKUP(B63,Ceilings!$A$4:$F$203,5,0))</f>
        <v/>
      </c>
      <c r="N63" s="318" t="str">
        <f t="shared" si="4"/>
        <v/>
      </c>
      <c r="O63" s="319"/>
      <c r="P63" s="318" t="str">
        <f>IF(ISBLANK(A63),"",VLOOKUP(B63,Ceilings!$A$4:$F$203,6,0))</f>
        <v/>
      </c>
      <c r="Q63" s="233" t="str">
        <f t="shared" si="5"/>
        <v/>
      </c>
    </row>
    <row r="64" spans="1:17">
      <c r="A64" s="313"/>
      <c r="B64" s="314" t="str">
        <f>IF(ISBLANK(A64),"",VLOOKUP(A64,Management!$A$11:$C$25,2,0))</f>
        <v/>
      </c>
      <c r="C64" s="315"/>
      <c r="D64" s="93" t="str">
        <f t="shared" si="0"/>
        <v/>
      </c>
      <c r="E64" s="316" t="str">
        <f t="shared" si="1"/>
        <v/>
      </c>
      <c r="F64" s="317"/>
      <c r="G64" s="318" t="str">
        <f>IF(ISBLANK(A64),"",VLOOKUP(B64,Ceilings!$A$4:$F$203,3,0))</f>
        <v/>
      </c>
      <c r="H64" s="318" t="str">
        <f t="shared" si="2"/>
        <v/>
      </c>
      <c r="I64" s="319"/>
      <c r="J64" s="318" t="str">
        <f>IF(ISBLANK(A64),"",VLOOKUP(B64,Ceilings!$A$4:$F$203,4,0))</f>
        <v/>
      </c>
      <c r="K64" s="318" t="str">
        <f t="shared" si="3"/>
        <v/>
      </c>
      <c r="L64" s="319"/>
      <c r="M64" s="318" t="str">
        <f>IF(ISBLANK(A64),"",VLOOKUP(B64,Ceilings!$A$4:$F$203,5,0))</f>
        <v/>
      </c>
      <c r="N64" s="318" t="str">
        <f t="shared" si="4"/>
        <v/>
      </c>
      <c r="O64" s="319"/>
      <c r="P64" s="318" t="str">
        <f>IF(ISBLANK(A64),"",VLOOKUP(B64,Ceilings!$A$4:$F$203,6,0))</f>
        <v/>
      </c>
      <c r="Q64" s="233" t="str">
        <f t="shared" si="5"/>
        <v/>
      </c>
    </row>
    <row r="65" spans="1:17">
      <c r="A65" s="313"/>
      <c r="B65" s="314" t="str">
        <f>IF(ISBLANK(A65),"",VLOOKUP(A65,Management!$A$11:$C$25,2,0))</f>
        <v/>
      </c>
      <c r="C65" s="315"/>
      <c r="D65" s="93" t="str">
        <f t="shared" si="0"/>
        <v/>
      </c>
      <c r="E65" s="316" t="str">
        <f t="shared" si="1"/>
        <v/>
      </c>
      <c r="F65" s="317"/>
      <c r="G65" s="318" t="str">
        <f>IF(ISBLANK(A65),"",VLOOKUP(B65,Ceilings!$A$4:$F$203,3,0))</f>
        <v/>
      </c>
      <c r="H65" s="318" t="str">
        <f t="shared" si="2"/>
        <v/>
      </c>
      <c r="I65" s="319"/>
      <c r="J65" s="318" t="str">
        <f>IF(ISBLANK(A65),"",VLOOKUP(B65,Ceilings!$A$4:$F$203,4,0))</f>
        <v/>
      </c>
      <c r="K65" s="318" t="str">
        <f t="shared" si="3"/>
        <v/>
      </c>
      <c r="L65" s="319"/>
      <c r="M65" s="318" t="str">
        <f>IF(ISBLANK(A65),"",VLOOKUP(B65,Ceilings!$A$4:$F$203,5,0))</f>
        <v/>
      </c>
      <c r="N65" s="318" t="str">
        <f t="shared" si="4"/>
        <v/>
      </c>
      <c r="O65" s="319"/>
      <c r="P65" s="318" t="str">
        <f>IF(ISBLANK(A65),"",VLOOKUP(B65,Ceilings!$A$4:$F$203,6,0))</f>
        <v/>
      </c>
      <c r="Q65" s="233" t="str">
        <f t="shared" si="5"/>
        <v/>
      </c>
    </row>
    <row r="66" spans="1:17">
      <c r="A66" s="313"/>
      <c r="B66" s="314" t="str">
        <f>IF(ISBLANK(A66),"",VLOOKUP(A66,Management!$A$11:$C$25,2,0))</f>
        <v/>
      </c>
      <c r="C66" s="315"/>
      <c r="D66" s="93" t="str">
        <f t="shared" si="0"/>
        <v/>
      </c>
      <c r="E66" s="316" t="str">
        <f t="shared" si="1"/>
        <v/>
      </c>
      <c r="F66" s="317"/>
      <c r="G66" s="318" t="str">
        <f>IF(ISBLANK(A66),"",VLOOKUP(B66,Ceilings!$A$4:$F$203,3,0))</f>
        <v/>
      </c>
      <c r="H66" s="318" t="str">
        <f t="shared" si="2"/>
        <v/>
      </c>
      <c r="I66" s="319"/>
      <c r="J66" s="318" t="str">
        <f>IF(ISBLANK(A66),"",VLOOKUP(B66,Ceilings!$A$4:$F$203,4,0))</f>
        <v/>
      </c>
      <c r="K66" s="318" t="str">
        <f t="shared" si="3"/>
        <v/>
      </c>
      <c r="L66" s="319"/>
      <c r="M66" s="318" t="str">
        <f>IF(ISBLANK(A66),"",VLOOKUP(B66,Ceilings!$A$4:$F$203,5,0))</f>
        <v/>
      </c>
      <c r="N66" s="318" t="str">
        <f t="shared" si="4"/>
        <v/>
      </c>
      <c r="O66" s="319"/>
      <c r="P66" s="318" t="str">
        <f>IF(ISBLANK(A66),"",VLOOKUP(B66,Ceilings!$A$4:$F$203,6,0))</f>
        <v/>
      </c>
      <c r="Q66" s="233" t="str">
        <f t="shared" si="5"/>
        <v/>
      </c>
    </row>
    <row r="67" spans="1:17">
      <c r="A67" s="313"/>
      <c r="B67" s="314" t="str">
        <f>IF(ISBLANK(A67),"",VLOOKUP(A67,Management!$A$11:$C$25,2,0))</f>
        <v/>
      </c>
      <c r="C67" s="315"/>
      <c r="D67" s="93" t="str">
        <f t="shared" si="0"/>
        <v/>
      </c>
      <c r="E67" s="316" t="str">
        <f t="shared" si="1"/>
        <v/>
      </c>
      <c r="F67" s="317"/>
      <c r="G67" s="318" t="str">
        <f>IF(ISBLANK(A67),"",VLOOKUP(B67,Ceilings!$A$4:$F$203,3,0))</f>
        <v/>
      </c>
      <c r="H67" s="318" t="str">
        <f t="shared" si="2"/>
        <v/>
      </c>
      <c r="I67" s="319"/>
      <c r="J67" s="318" t="str">
        <f>IF(ISBLANK(A67),"",VLOOKUP(B67,Ceilings!$A$4:$F$203,4,0))</f>
        <v/>
      </c>
      <c r="K67" s="318" t="str">
        <f t="shared" si="3"/>
        <v/>
      </c>
      <c r="L67" s="319"/>
      <c r="M67" s="318" t="str">
        <f>IF(ISBLANK(A67),"",VLOOKUP(B67,Ceilings!$A$4:$F$203,5,0))</f>
        <v/>
      </c>
      <c r="N67" s="318" t="str">
        <f t="shared" si="4"/>
        <v/>
      </c>
      <c r="O67" s="319"/>
      <c r="P67" s="318" t="str">
        <f>IF(ISBLANK(A67),"",VLOOKUP(B67,Ceilings!$A$4:$F$203,6,0))</f>
        <v/>
      </c>
      <c r="Q67" s="233" t="str">
        <f t="shared" si="5"/>
        <v/>
      </c>
    </row>
    <row r="68" spans="1:17">
      <c r="A68" s="313"/>
      <c r="B68" s="314" t="str">
        <f>IF(ISBLANK(A68),"",VLOOKUP(A68,Management!$A$11:$C$25,2,0))</f>
        <v/>
      </c>
      <c r="C68" s="315"/>
      <c r="D68" s="93" t="str">
        <f t="shared" si="0"/>
        <v/>
      </c>
      <c r="E68" s="316" t="str">
        <f t="shared" si="1"/>
        <v/>
      </c>
      <c r="F68" s="317"/>
      <c r="G68" s="318" t="str">
        <f>IF(ISBLANK(A68),"",VLOOKUP(B68,Ceilings!$A$4:$F$203,3,0))</f>
        <v/>
      </c>
      <c r="H68" s="318" t="str">
        <f t="shared" si="2"/>
        <v/>
      </c>
      <c r="I68" s="319"/>
      <c r="J68" s="318" t="str">
        <f>IF(ISBLANK(A68),"",VLOOKUP(B68,Ceilings!$A$4:$F$203,4,0))</f>
        <v/>
      </c>
      <c r="K68" s="318" t="str">
        <f t="shared" si="3"/>
        <v/>
      </c>
      <c r="L68" s="319"/>
      <c r="M68" s="318" t="str">
        <f>IF(ISBLANK(A68),"",VLOOKUP(B68,Ceilings!$A$4:$F$203,5,0))</f>
        <v/>
      </c>
      <c r="N68" s="318" t="str">
        <f t="shared" si="4"/>
        <v/>
      </c>
      <c r="O68" s="319"/>
      <c r="P68" s="318" t="str">
        <f>IF(ISBLANK(A68),"",VLOOKUP(B68,Ceilings!$A$4:$F$203,6,0))</f>
        <v/>
      </c>
      <c r="Q68" s="233" t="str">
        <f t="shared" si="5"/>
        <v/>
      </c>
    </row>
    <row r="69" spans="1:17">
      <c r="A69" s="313"/>
      <c r="B69" s="314" t="str">
        <f>IF(ISBLANK(A69),"",VLOOKUP(A69,Management!$A$11:$C$25,2,0))</f>
        <v/>
      </c>
      <c r="C69" s="315"/>
      <c r="D69" s="93" t="str">
        <f t="shared" si="0"/>
        <v/>
      </c>
      <c r="E69" s="316" t="str">
        <f t="shared" si="1"/>
        <v/>
      </c>
      <c r="F69" s="317"/>
      <c r="G69" s="318" t="str">
        <f>IF(ISBLANK(A69),"",VLOOKUP(B69,Ceilings!$A$4:$F$203,3,0))</f>
        <v/>
      </c>
      <c r="H69" s="318" t="str">
        <f t="shared" si="2"/>
        <v/>
      </c>
      <c r="I69" s="319"/>
      <c r="J69" s="318" t="str">
        <f>IF(ISBLANK(A69),"",VLOOKUP(B69,Ceilings!$A$4:$F$203,4,0))</f>
        <v/>
      </c>
      <c r="K69" s="318" t="str">
        <f t="shared" si="3"/>
        <v/>
      </c>
      <c r="L69" s="319"/>
      <c r="M69" s="318" t="str">
        <f>IF(ISBLANK(A69),"",VLOOKUP(B69,Ceilings!$A$4:$F$203,5,0))</f>
        <v/>
      </c>
      <c r="N69" s="318" t="str">
        <f t="shared" si="4"/>
        <v/>
      </c>
      <c r="O69" s="319"/>
      <c r="P69" s="318" t="str">
        <f>IF(ISBLANK(A69),"",VLOOKUP(B69,Ceilings!$A$4:$F$203,6,0))</f>
        <v/>
      </c>
      <c r="Q69" s="233" t="str">
        <f t="shared" si="5"/>
        <v/>
      </c>
    </row>
    <row r="70" spans="1:17">
      <c r="A70" s="313"/>
      <c r="B70" s="314" t="str">
        <f>IF(ISBLANK(A70),"",VLOOKUP(A70,Management!$A$11:$C$25,2,0))</f>
        <v/>
      </c>
      <c r="C70" s="315"/>
      <c r="D70" s="93" t="str">
        <f t="shared" si="0"/>
        <v/>
      </c>
      <c r="E70" s="316" t="str">
        <f t="shared" si="1"/>
        <v/>
      </c>
      <c r="F70" s="317"/>
      <c r="G70" s="318" t="str">
        <f>IF(ISBLANK(A70),"",VLOOKUP(B70,Ceilings!$A$4:$F$203,3,0))</f>
        <v/>
      </c>
      <c r="H70" s="318" t="str">
        <f t="shared" si="2"/>
        <v/>
      </c>
      <c r="I70" s="319"/>
      <c r="J70" s="318" t="str">
        <f>IF(ISBLANK(A70),"",VLOOKUP(B70,Ceilings!$A$4:$F$203,4,0))</f>
        <v/>
      </c>
      <c r="K70" s="318" t="str">
        <f t="shared" si="3"/>
        <v/>
      </c>
      <c r="L70" s="319"/>
      <c r="M70" s="318" t="str">
        <f>IF(ISBLANK(A70),"",VLOOKUP(B70,Ceilings!$A$4:$F$203,5,0))</f>
        <v/>
      </c>
      <c r="N70" s="318" t="str">
        <f t="shared" si="4"/>
        <v/>
      </c>
      <c r="O70" s="319"/>
      <c r="P70" s="318" t="str">
        <f>IF(ISBLANK(A70),"",VLOOKUP(B70,Ceilings!$A$4:$F$203,6,0))</f>
        <v/>
      </c>
      <c r="Q70" s="233" t="str">
        <f t="shared" si="5"/>
        <v/>
      </c>
    </row>
    <row r="71" spans="1:17">
      <c r="A71" s="313"/>
      <c r="B71" s="314" t="str">
        <f>IF(ISBLANK(A71),"",VLOOKUP(A71,Management!$A$11:$C$25,2,0))</f>
        <v/>
      </c>
      <c r="C71" s="315"/>
      <c r="D71" s="93" t="str">
        <f t="shared" si="0"/>
        <v/>
      </c>
      <c r="E71" s="316" t="str">
        <f t="shared" si="1"/>
        <v/>
      </c>
      <c r="F71" s="317"/>
      <c r="G71" s="318" t="str">
        <f>IF(ISBLANK(A71),"",VLOOKUP(B71,Ceilings!$A$4:$F$203,3,0))</f>
        <v/>
      </c>
      <c r="H71" s="318" t="str">
        <f t="shared" si="2"/>
        <v/>
      </c>
      <c r="I71" s="319"/>
      <c r="J71" s="318" t="str">
        <f>IF(ISBLANK(A71),"",VLOOKUP(B71,Ceilings!$A$4:$F$203,4,0))</f>
        <v/>
      </c>
      <c r="K71" s="318" t="str">
        <f t="shared" si="3"/>
        <v/>
      </c>
      <c r="L71" s="319"/>
      <c r="M71" s="318" t="str">
        <f>IF(ISBLANK(A71),"",VLOOKUP(B71,Ceilings!$A$4:$F$203,5,0))</f>
        <v/>
      </c>
      <c r="N71" s="318" t="str">
        <f t="shared" si="4"/>
        <v/>
      </c>
      <c r="O71" s="319"/>
      <c r="P71" s="318" t="str">
        <f>IF(ISBLANK(A71),"",VLOOKUP(B71,Ceilings!$A$4:$F$203,6,0))</f>
        <v/>
      </c>
      <c r="Q71" s="233" t="str">
        <f t="shared" si="5"/>
        <v/>
      </c>
    </row>
    <row r="72" spans="1:17">
      <c r="A72" s="313"/>
      <c r="B72" s="314" t="str">
        <f>IF(ISBLANK(A72),"",VLOOKUP(A72,Management!$A$11:$C$25,2,0))</f>
        <v/>
      </c>
      <c r="C72" s="315"/>
      <c r="D72" s="93" t="str">
        <f t="shared" si="0"/>
        <v/>
      </c>
      <c r="E72" s="316" t="str">
        <f t="shared" si="1"/>
        <v/>
      </c>
      <c r="F72" s="317"/>
      <c r="G72" s="318" t="str">
        <f>IF(ISBLANK(A72),"",VLOOKUP(B72,Ceilings!$A$4:$F$203,3,0))</f>
        <v/>
      </c>
      <c r="H72" s="318" t="str">
        <f t="shared" si="2"/>
        <v/>
      </c>
      <c r="I72" s="319"/>
      <c r="J72" s="318" t="str">
        <f>IF(ISBLANK(A72),"",VLOOKUP(B72,Ceilings!$A$4:$F$203,4,0))</f>
        <v/>
      </c>
      <c r="K72" s="318" t="str">
        <f t="shared" si="3"/>
        <v/>
      </c>
      <c r="L72" s="319"/>
      <c r="M72" s="318" t="str">
        <f>IF(ISBLANK(A72),"",VLOOKUP(B72,Ceilings!$A$4:$F$203,5,0))</f>
        <v/>
      </c>
      <c r="N72" s="318" t="str">
        <f t="shared" si="4"/>
        <v/>
      </c>
      <c r="O72" s="319"/>
      <c r="P72" s="318" t="str">
        <f>IF(ISBLANK(A72),"",VLOOKUP(B72,Ceilings!$A$4:$F$203,6,0))</f>
        <v/>
      </c>
      <c r="Q72" s="233" t="str">
        <f t="shared" si="5"/>
        <v/>
      </c>
    </row>
    <row r="73" spans="1:17">
      <c r="A73" s="313"/>
      <c r="B73" s="314" t="str">
        <f>IF(ISBLANK(A73),"",VLOOKUP(A73,Management!$A$11:$C$25,2,0))</f>
        <v/>
      </c>
      <c r="C73" s="315"/>
      <c r="D73" s="93" t="str">
        <f t="shared" ref="D73:D109" si="6">IF(ISBLANK(A73),"",SUM(F73,I73,L73,O73))</f>
        <v/>
      </c>
      <c r="E73" s="316" t="str">
        <f t="shared" ref="E73:E109" si="7">IF(ISBLANK(A73),"",IF(ISBLANK(C73),"Missing data",SUM(H73,K73,N73,Q73)))</f>
        <v/>
      </c>
      <c r="F73" s="317"/>
      <c r="G73" s="318" t="str">
        <f>IF(ISBLANK(A73),"",VLOOKUP(B73,Ceilings!$A$4:$F$203,3,0))</f>
        <v/>
      </c>
      <c r="H73" s="318" t="str">
        <f t="shared" ref="H73:H109" si="8">IF(ISBLANK($A73),"",F73*G73)</f>
        <v/>
      </c>
      <c r="I73" s="319"/>
      <c r="J73" s="318" t="str">
        <f>IF(ISBLANK(A73),"",VLOOKUP(B73,Ceilings!$A$4:$F$203,4,0))</f>
        <v/>
      </c>
      <c r="K73" s="318" t="str">
        <f t="shared" ref="K73:K109" si="9">IF(ISBLANK($A73),"",I73*J73)</f>
        <v/>
      </c>
      <c r="L73" s="319"/>
      <c r="M73" s="318" t="str">
        <f>IF(ISBLANK(A73),"",VLOOKUP(B73,Ceilings!$A$4:$F$203,5,0))</f>
        <v/>
      </c>
      <c r="N73" s="318" t="str">
        <f t="shared" ref="N73:N109" si="10">IF(ISBLANK($A73),"",L73*M73)</f>
        <v/>
      </c>
      <c r="O73" s="319"/>
      <c r="P73" s="318" t="str">
        <f>IF(ISBLANK(A73),"",VLOOKUP(B73,Ceilings!$A$4:$F$203,6,0))</f>
        <v/>
      </c>
      <c r="Q73" s="233" t="str">
        <f t="shared" ref="Q73:Q109" si="11">IF(ISBLANK($A73),"",O73*P73)</f>
        <v/>
      </c>
    </row>
    <row r="74" spans="1:17">
      <c r="A74" s="313"/>
      <c r="B74" s="314" t="str">
        <f>IF(ISBLANK(A74),"",VLOOKUP(A74,Management!$A$11:$C$25,2,0))</f>
        <v/>
      </c>
      <c r="C74" s="315"/>
      <c r="D74" s="93" t="str">
        <f t="shared" si="6"/>
        <v/>
      </c>
      <c r="E74" s="316" t="str">
        <f t="shared" si="7"/>
        <v/>
      </c>
      <c r="F74" s="317"/>
      <c r="G74" s="318" t="str">
        <f>IF(ISBLANK(A74),"",VLOOKUP(B74,Ceilings!$A$4:$F$203,3,0))</f>
        <v/>
      </c>
      <c r="H74" s="318" t="str">
        <f t="shared" si="8"/>
        <v/>
      </c>
      <c r="I74" s="319"/>
      <c r="J74" s="318" t="str">
        <f>IF(ISBLANK(A74),"",VLOOKUP(B74,Ceilings!$A$4:$F$203,4,0))</f>
        <v/>
      </c>
      <c r="K74" s="318" t="str">
        <f t="shared" si="9"/>
        <v/>
      </c>
      <c r="L74" s="319"/>
      <c r="M74" s="318" t="str">
        <f>IF(ISBLANK(A74),"",VLOOKUP(B74,Ceilings!$A$4:$F$203,5,0))</f>
        <v/>
      </c>
      <c r="N74" s="318" t="str">
        <f t="shared" si="10"/>
        <v/>
      </c>
      <c r="O74" s="319"/>
      <c r="P74" s="318" t="str">
        <f>IF(ISBLANK(A74),"",VLOOKUP(B74,Ceilings!$A$4:$F$203,6,0))</f>
        <v/>
      </c>
      <c r="Q74" s="233" t="str">
        <f t="shared" si="11"/>
        <v/>
      </c>
    </row>
    <row r="75" spans="1:17">
      <c r="A75" s="313"/>
      <c r="B75" s="314" t="str">
        <f>IF(ISBLANK(A75),"",VLOOKUP(A75,Management!$A$11:$C$25,2,0))</f>
        <v/>
      </c>
      <c r="C75" s="315"/>
      <c r="D75" s="93" t="str">
        <f t="shared" si="6"/>
        <v/>
      </c>
      <c r="E75" s="316" t="str">
        <f t="shared" si="7"/>
        <v/>
      </c>
      <c r="F75" s="317"/>
      <c r="G75" s="318" t="str">
        <f>IF(ISBLANK(A75),"",VLOOKUP(B75,Ceilings!$A$4:$F$203,3,0))</f>
        <v/>
      </c>
      <c r="H75" s="318" t="str">
        <f t="shared" si="8"/>
        <v/>
      </c>
      <c r="I75" s="319"/>
      <c r="J75" s="318" t="str">
        <f>IF(ISBLANK(A75),"",VLOOKUP(B75,Ceilings!$A$4:$F$203,4,0))</f>
        <v/>
      </c>
      <c r="K75" s="318" t="str">
        <f t="shared" si="9"/>
        <v/>
      </c>
      <c r="L75" s="319"/>
      <c r="M75" s="318" t="str">
        <f>IF(ISBLANK(A75),"",VLOOKUP(B75,Ceilings!$A$4:$F$203,5,0))</f>
        <v/>
      </c>
      <c r="N75" s="318" t="str">
        <f t="shared" si="10"/>
        <v/>
      </c>
      <c r="O75" s="319"/>
      <c r="P75" s="318" t="str">
        <f>IF(ISBLANK(A75),"",VLOOKUP(B75,Ceilings!$A$4:$F$203,6,0))</f>
        <v/>
      </c>
      <c r="Q75" s="233" t="str">
        <f t="shared" si="11"/>
        <v/>
      </c>
    </row>
    <row r="76" spans="1:17">
      <c r="A76" s="313"/>
      <c r="B76" s="314" t="str">
        <f>IF(ISBLANK(A76),"",VLOOKUP(A76,Management!$A$11:$C$25,2,0))</f>
        <v/>
      </c>
      <c r="C76" s="315"/>
      <c r="D76" s="93" t="str">
        <f t="shared" si="6"/>
        <v/>
      </c>
      <c r="E76" s="316" t="str">
        <f t="shared" si="7"/>
        <v/>
      </c>
      <c r="F76" s="317"/>
      <c r="G76" s="318" t="str">
        <f>IF(ISBLANK(A76),"",VLOOKUP(B76,Ceilings!$A$4:$F$203,3,0))</f>
        <v/>
      </c>
      <c r="H76" s="318" t="str">
        <f t="shared" si="8"/>
        <v/>
      </c>
      <c r="I76" s="319"/>
      <c r="J76" s="318" t="str">
        <f>IF(ISBLANK(A76),"",VLOOKUP(B76,Ceilings!$A$4:$F$203,4,0))</f>
        <v/>
      </c>
      <c r="K76" s="318" t="str">
        <f t="shared" si="9"/>
        <v/>
      </c>
      <c r="L76" s="319"/>
      <c r="M76" s="318" t="str">
        <f>IF(ISBLANK(A76),"",VLOOKUP(B76,Ceilings!$A$4:$F$203,5,0))</f>
        <v/>
      </c>
      <c r="N76" s="318" t="str">
        <f t="shared" si="10"/>
        <v/>
      </c>
      <c r="O76" s="319"/>
      <c r="P76" s="318" t="str">
        <f>IF(ISBLANK(A76),"",VLOOKUP(B76,Ceilings!$A$4:$F$203,6,0))</f>
        <v/>
      </c>
      <c r="Q76" s="233" t="str">
        <f t="shared" si="11"/>
        <v/>
      </c>
    </row>
    <row r="77" spans="1:17">
      <c r="A77" s="313"/>
      <c r="B77" s="314" t="str">
        <f>IF(ISBLANK(A77),"",VLOOKUP(A77,Management!$A$11:$C$25,2,0))</f>
        <v/>
      </c>
      <c r="C77" s="315"/>
      <c r="D77" s="93" t="str">
        <f t="shared" si="6"/>
        <v/>
      </c>
      <c r="E77" s="316" t="str">
        <f t="shared" si="7"/>
        <v/>
      </c>
      <c r="F77" s="317"/>
      <c r="G77" s="318" t="str">
        <f>IF(ISBLANK(A77),"",VLOOKUP(B77,Ceilings!$A$4:$F$203,3,0))</f>
        <v/>
      </c>
      <c r="H77" s="318" t="str">
        <f t="shared" si="8"/>
        <v/>
      </c>
      <c r="I77" s="319"/>
      <c r="J77" s="318" t="str">
        <f>IF(ISBLANK(A77),"",VLOOKUP(B77,Ceilings!$A$4:$F$203,4,0))</f>
        <v/>
      </c>
      <c r="K77" s="318" t="str">
        <f t="shared" si="9"/>
        <v/>
      </c>
      <c r="L77" s="319"/>
      <c r="M77" s="318" t="str">
        <f>IF(ISBLANK(A77),"",VLOOKUP(B77,Ceilings!$A$4:$F$203,5,0))</f>
        <v/>
      </c>
      <c r="N77" s="318" t="str">
        <f t="shared" si="10"/>
        <v/>
      </c>
      <c r="O77" s="319"/>
      <c r="P77" s="318" t="str">
        <f>IF(ISBLANK(A77),"",VLOOKUP(B77,Ceilings!$A$4:$F$203,6,0))</f>
        <v/>
      </c>
      <c r="Q77" s="233" t="str">
        <f t="shared" si="11"/>
        <v/>
      </c>
    </row>
    <row r="78" spans="1:17">
      <c r="A78" s="313"/>
      <c r="B78" s="314" t="str">
        <f>IF(ISBLANK(A78),"",VLOOKUP(A78,Management!$A$11:$C$25,2,0))</f>
        <v/>
      </c>
      <c r="C78" s="315"/>
      <c r="D78" s="93" t="str">
        <f t="shared" si="6"/>
        <v/>
      </c>
      <c r="E78" s="316" t="str">
        <f t="shared" si="7"/>
        <v/>
      </c>
      <c r="F78" s="317"/>
      <c r="G78" s="318" t="str">
        <f>IF(ISBLANK(A78),"",VLOOKUP(B78,Ceilings!$A$4:$F$203,3,0))</f>
        <v/>
      </c>
      <c r="H78" s="318" t="str">
        <f t="shared" si="8"/>
        <v/>
      </c>
      <c r="I78" s="319"/>
      <c r="J78" s="318" t="str">
        <f>IF(ISBLANK(A78),"",VLOOKUP(B78,Ceilings!$A$4:$F$203,4,0))</f>
        <v/>
      </c>
      <c r="K78" s="318" t="str">
        <f t="shared" si="9"/>
        <v/>
      </c>
      <c r="L78" s="319"/>
      <c r="M78" s="318" t="str">
        <f>IF(ISBLANK(A78),"",VLOOKUP(B78,Ceilings!$A$4:$F$203,5,0))</f>
        <v/>
      </c>
      <c r="N78" s="318" t="str">
        <f t="shared" si="10"/>
        <v/>
      </c>
      <c r="O78" s="319"/>
      <c r="P78" s="318" t="str">
        <f>IF(ISBLANK(A78),"",VLOOKUP(B78,Ceilings!$A$4:$F$203,6,0))</f>
        <v/>
      </c>
      <c r="Q78" s="233" t="str">
        <f t="shared" si="11"/>
        <v/>
      </c>
    </row>
    <row r="79" spans="1:17">
      <c r="A79" s="313"/>
      <c r="B79" s="314" t="str">
        <f>IF(ISBLANK(A79),"",VLOOKUP(A79,Management!$A$11:$C$25,2,0))</f>
        <v/>
      </c>
      <c r="C79" s="315"/>
      <c r="D79" s="93" t="str">
        <f t="shared" si="6"/>
        <v/>
      </c>
      <c r="E79" s="316" t="str">
        <f t="shared" si="7"/>
        <v/>
      </c>
      <c r="F79" s="317"/>
      <c r="G79" s="318" t="str">
        <f>IF(ISBLANK(A79),"",VLOOKUP(B79,Ceilings!$A$4:$F$203,3,0))</f>
        <v/>
      </c>
      <c r="H79" s="318" t="str">
        <f t="shared" si="8"/>
        <v/>
      </c>
      <c r="I79" s="319"/>
      <c r="J79" s="318" t="str">
        <f>IF(ISBLANK(A79),"",VLOOKUP(B79,Ceilings!$A$4:$F$203,4,0))</f>
        <v/>
      </c>
      <c r="K79" s="318" t="str">
        <f t="shared" si="9"/>
        <v/>
      </c>
      <c r="L79" s="319"/>
      <c r="M79" s="318" t="str">
        <f>IF(ISBLANK(A79),"",VLOOKUP(B79,Ceilings!$A$4:$F$203,5,0))</f>
        <v/>
      </c>
      <c r="N79" s="318" t="str">
        <f t="shared" si="10"/>
        <v/>
      </c>
      <c r="O79" s="319"/>
      <c r="P79" s="318" t="str">
        <f>IF(ISBLANK(A79),"",VLOOKUP(B79,Ceilings!$A$4:$F$203,6,0))</f>
        <v/>
      </c>
      <c r="Q79" s="233" t="str">
        <f t="shared" si="11"/>
        <v/>
      </c>
    </row>
    <row r="80" spans="1:17">
      <c r="A80" s="313"/>
      <c r="B80" s="314" t="str">
        <f>IF(ISBLANK(A80),"",VLOOKUP(A80,Management!$A$11:$C$25,2,0))</f>
        <v/>
      </c>
      <c r="C80" s="315"/>
      <c r="D80" s="93" t="str">
        <f t="shared" si="6"/>
        <v/>
      </c>
      <c r="E80" s="316" t="str">
        <f t="shared" si="7"/>
        <v/>
      </c>
      <c r="F80" s="317"/>
      <c r="G80" s="318" t="str">
        <f>IF(ISBLANK(A80),"",VLOOKUP(B80,Ceilings!$A$4:$F$203,3,0))</f>
        <v/>
      </c>
      <c r="H80" s="318" t="str">
        <f t="shared" si="8"/>
        <v/>
      </c>
      <c r="I80" s="319"/>
      <c r="J80" s="318" t="str">
        <f>IF(ISBLANK(A80),"",VLOOKUP(B80,Ceilings!$A$4:$F$203,4,0))</f>
        <v/>
      </c>
      <c r="K80" s="318" t="str">
        <f t="shared" si="9"/>
        <v/>
      </c>
      <c r="L80" s="319"/>
      <c r="M80" s="318" t="str">
        <f>IF(ISBLANK(A80),"",VLOOKUP(B80,Ceilings!$A$4:$F$203,5,0))</f>
        <v/>
      </c>
      <c r="N80" s="318" t="str">
        <f t="shared" si="10"/>
        <v/>
      </c>
      <c r="O80" s="319"/>
      <c r="P80" s="318" t="str">
        <f>IF(ISBLANK(A80),"",VLOOKUP(B80,Ceilings!$A$4:$F$203,6,0))</f>
        <v/>
      </c>
      <c r="Q80" s="233" t="str">
        <f t="shared" si="11"/>
        <v/>
      </c>
    </row>
    <row r="81" spans="1:17">
      <c r="A81" s="313"/>
      <c r="B81" s="314" t="str">
        <f>IF(ISBLANK(A81),"",VLOOKUP(A81,Management!$A$11:$C$25,2,0))</f>
        <v/>
      </c>
      <c r="C81" s="315"/>
      <c r="D81" s="93" t="str">
        <f t="shared" si="6"/>
        <v/>
      </c>
      <c r="E81" s="316" t="str">
        <f t="shared" si="7"/>
        <v/>
      </c>
      <c r="F81" s="317"/>
      <c r="G81" s="318" t="str">
        <f>IF(ISBLANK(A81),"",VLOOKUP(B81,Ceilings!$A$4:$F$203,3,0))</f>
        <v/>
      </c>
      <c r="H81" s="318" t="str">
        <f t="shared" si="8"/>
        <v/>
      </c>
      <c r="I81" s="319"/>
      <c r="J81" s="318" t="str">
        <f>IF(ISBLANK(A81),"",VLOOKUP(B81,Ceilings!$A$4:$F$203,4,0))</f>
        <v/>
      </c>
      <c r="K81" s="318" t="str">
        <f t="shared" si="9"/>
        <v/>
      </c>
      <c r="L81" s="319"/>
      <c r="M81" s="318" t="str">
        <f>IF(ISBLANK(A81),"",VLOOKUP(B81,Ceilings!$A$4:$F$203,5,0))</f>
        <v/>
      </c>
      <c r="N81" s="318" t="str">
        <f t="shared" si="10"/>
        <v/>
      </c>
      <c r="O81" s="319"/>
      <c r="P81" s="318" t="str">
        <f>IF(ISBLANK(A81),"",VLOOKUP(B81,Ceilings!$A$4:$F$203,6,0))</f>
        <v/>
      </c>
      <c r="Q81" s="233" t="str">
        <f t="shared" si="11"/>
        <v/>
      </c>
    </row>
    <row r="82" spans="1:17">
      <c r="A82" s="313"/>
      <c r="B82" s="314" t="str">
        <f>IF(ISBLANK(A82),"",VLOOKUP(A82,Management!$A$11:$C$25,2,0))</f>
        <v/>
      </c>
      <c r="C82" s="315"/>
      <c r="D82" s="93" t="str">
        <f t="shared" si="6"/>
        <v/>
      </c>
      <c r="E82" s="316" t="str">
        <f t="shared" si="7"/>
        <v/>
      </c>
      <c r="F82" s="317"/>
      <c r="G82" s="318" t="str">
        <f>IF(ISBLANK(A82),"",VLOOKUP(B82,Ceilings!$A$4:$F$203,3,0))</f>
        <v/>
      </c>
      <c r="H82" s="318" t="str">
        <f t="shared" si="8"/>
        <v/>
      </c>
      <c r="I82" s="319"/>
      <c r="J82" s="318" t="str">
        <f>IF(ISBLANK(A82),"",VLOOKUP(B82,Ceilings!$A$4:$F$203,4,0))</f>
        <v/>
      </c>
      <c r="K82" s="318" t="str">
        <f t="shared" si="9"/>
        <v/>
      </c>
      <c r="L82" s="319"/>
      <c r="M82" s="318" t="str">
        <f>IF(ISBLANK(A82),"",VLOOKUP(B82,Ceilings!$A$4:$F$203,5,0))</f>
        <v/>
      </c>
      <c r="N82" s="318" t="str">
        <f t="shared" si="10"/>
        <v/>
      </c>
      <c r="O82" s="319"/>
      <c r="P82" s="318" t="str">
        <f>IF(ISBLANK(A82),"",VLOOKUP(B82,Ceilings!$A$4:$F$203,6,0))</f>
        <v/>
      </c>
      <c r="Q82" s="233" t="str">
        <f t="shared" si="11"/>
        <v/>
      </c>
    </row>
    <row r="83" spans="1:17">
      <c r="A83" s="313"/>
      <c r="B83" s="314" t="str">
        <f>IF(ISBLANK(A83),"",VLOOKUP(A83,Management!$A$11:$C$25,2,0))</f>
        <v/>
      </c>
      <c r="C83" s="315"/>
      <c r="D83" s="93" t="str">
        <f t="shared" si="6"/>
        <v/>
      </c>
      <c r="E83" s="316" t="str">
        <f t="shared" si="7"/>
        <v/>
      </c>
      <c r="F83" s="317"/>
      <c r="G83" s="318" t="str">
        <f>IF(ISBLANK(A83),"",VLOOKUP(B83,Ceilings!$A$4:$F$203,3,0))</f>
        <v/>
      </c>
      <c r="H83" s="318" t="str">
        <f t="shared" si="8"/>
        <v/>
      </c>
      <c r="I83" s="319"/>
      <c r="J83" s="318" t="str">
        <f>IF(ISBLANK(A83),"",VLOOKUP(B83,Ceilings!$A$4:$F$203,4,0))</f>
        <v/>
      </c>
      <c r="K83" s="318" t="str">
        <f t="shared" si="9"/>
        <v/>
      </c>
      <c r="L83" s="319"/>
      <c r="M83" s="318" t="str">
        <f>IF(ISBLANK(A83),"",VLOOKUP(B83,Ceilings!$A$4:$F$203,5,0))</f>
        <v/>
      </c>
      <c r="N83" s="318" t="str">
        <f t="shared" si="10"/>
        <v/>
      </c>
      <c r="O83" s="319"/>
      <c r="P83" s="318" t="str">
        <f>IF(ISBLANK(A83),"",VLOOKUP(B83,Ceilings!$A$4:$F$203,6,0))</f>
        <v/>
      </c>
      <c r="Q83" s="233" t="str">
        <f t="shared" si="11"/>
        <v/>
      </c>
    </row>
    <row r="84" spans="1:17">
      <c r="A84" s="313"/>
      <c r="B84" s="314" t="str">
        <f>IF(ISBLANK(A84),"",VLOOKUP(A84,Management!$A$11:$C$25,2,0))</f>
        <v/>
      </c>
      <c r="C84" s="315"/>
      <c r="D84" s="93" t="str">
        <f t="shared" si="6"/>
        <v/>
      </c>
      <c r="E84" s="316" t="str">
        <f t="shared" si="7"/>
        <v/>
      </c>
      <c r="F84" s="317"/>
      <c r="G84" s="318" t="str">
        <f>IF(ISBLANK(A84),"",VLOOKUP(B84,Ceilings!$A$4:$F$203,3,0))</f>
        <v/>
      </c>
      <c r="H84" s="318" t="str">
        <f t="shared" si="8"/>
        <v/>
      </c>
      <c r="I84" s="319"/>
      <c r="J84" s="318" t="str">
        <f>IF(ISBLANK(A84),"",VLOOKUP(B84,Ceilings!$A$4:$F$203,4,0))</f>
        <v/>
      </c>
      <c r="K84" s="318" t="str">
        <f t="shared" si="9"/>
        <v/>
      </c>
      <c r="L84" s="319"/>
      <c r="M84" s="318" t="str">
        <f>IF(ISBLANK(A84),"",VLOOKUP(B84,Ceilings!$A$4:$F$203,5,0))</f>
        <v/>
      </c>
      <c r="N84" s="318" t="str">
        <f t="shared" si="10"/>
        <v/>
      </c>
      <c r="O84" s="319"/>
      <c r="P84" s="318" t="str">
        <f>IF(ISBLANK(A84),"",VLOOKUP(B84,Ceilings!$A$4:$F$203,6,0))</f>
        <v/>
      </c>
      <c r="Q84" s="233" t="str">
        <f t="shared" si="11"/>
        <v/>
      </c>
    </row>
    <row r="85" spans="1:17">
      <c r="A85" s="313"/>
      <c r="B85" s="314" t="str">
        <f>IF(ISBLANK(A85),"",VLOOKUP(A85,Management!$A$11:$C$25,2,0))</f>
        <v/>
      </c>
      <c r="C85" s="315"/>
      <c r="D85" s="93" t="str">
        <f t="shared" si="6"/>
        <v/>
      </c>
      <c r="E85" s="316" t="str">
        <f t="shared" si="7"/>
        <v/>
      </c>
      <c r="F85" s="317"/>
      <c r="G85" s="318" t="str">
        <f>IF(ISBLANK(A85),"",VLOOKUP(B85,Ceilings!$A$4:$F$203,3,0))</f>
        <v/>
      </c>
      <c r="H85" s="318" t="str">
        <f t="shared" si="8"/>
        <v/>
      </c>
      <c r="I85" s="319"/>
      <c r="J85" s="318" t="str">
        <f>IF(ISBLANK(A85),"",VLOOKUP(B85,Ceilings!$A$4:$F$203,4,0))</f>
        <v/>
      </c>
      <c r="K85" s="318" t="str">
        <f t="shared" si="9"/>
        <v/>
      </c>
      <c r="L85" s="319"/>
      <c r="M85" s="318" t="str">
        <f>IF(ISBLANK(A85),"",VLOOKUP(B85,Ceilings!$A$4:$F$203,5,0))</f>
        <v/>
      </c>
      <c r="N85" s="318" t="str">
        <f t="shared" si="10"/>
        <v/>
      </c>
      <c r="O85" s="319"/>
      <c r="P85" s="318" t="str">
        <f>IF(ISBLANK(A85),"",VLOOKUP(B85,Ceilings!$A$4:$F$203,6,0))</f>
        <v/>
      </c>
      <c r="Q85" s="233" t="str">
        <f t="shared" si="11"/>
        <v/>
      </c>
    </row>
    <row r="86" spans="1:17">
      <c r="A86" s="313"/>
      <c r="B86" s="314" t="str">
        <f>IF(ISBLANK(A86),"",VLOOKUP(A86,Management!$A$11:$C$25,2,0))</f>
        <v/>
      </c>
      <c r="C86" s="315"/>
      <c r="D86" s="93" t="str">
        <f t="shared" si="6"/>
        <v/>
      </c>
      <c r="E86" s="316" t="str">
        <f t="shared" si="7"/>
        <v/>
      </c>
      <c r="F86" s="317"/>
      <c r="G86" s="318" t="str">
        <f>IF(ISBLANK(A86),"",VLOOKUP(B86,Ceilings!$A$4:$F$203,3,0))</f>
        <v/>
      </c>
      <c r="H86" s="318" t="str">
        <f t="shared" si="8"/>
        <v/>
      </c>
      <c r="I86" s="319"/>
      <c r="J86" s="318" t="str">
        <f>IF(ISBLANK(A86),"",VLOOKUP(B86,Ceilings!$A$4:$F$203,4,0))</f>
        <v/>
      </c>
      <c r="K86" s="318" t="str">
        <f t="shared" si="9"/>
        <v/>
      </c>
      <c r="L86" s="319"/>
      <c r="M86" s="318" t="str">
        <f>IF(ISBLANK(A86),"",VLOOKUP(B86,Ceilings!$A$4:$F$203,5,0))</f>
        <v/>
      </c>
      <c r="N86" s="318" t="str">
        <f t="shared" si="10"/>
        <v/>
      </c>
      <c r="O86" s="319"/>
      <c r="P86" s="318" t="str">
        <f>IF(ISBLANK(A86),"",VLOOKUP(B86,Ceilings!$A$4:$F$203,6,0))</f>
        <v/>
      </c>
      <c r="Q86" s="233" t="str">
        <f t="shared" si="11"/>
        <v/>
      </c>
    </row>
    <row r="87" spans="1:17">
      <c r="A87" s="313"/>
      <c r="B87" s="314" t="str">
        <f>IF(ISBLANK(A87),"",VLOOKUP(A87,Management!$A$11:$C$25,2,0))</f>
        <v/>
      </c>
      <c r="C87" s="315"/>
      <c r="D87" s="93" t="str">
        <f t="shared" si="6"/>
        <v/>
      </c>
      <c r="E87" s="316" t="str">
        <f t="shared" si="7"/>
        <v/>
      </c>
      <c r="F87" s="317"/>
      <c r="G87" s="318" t="str">
        <f>IF(ISBLANK(A87),"",VLOOKUP(B87,Ceilings!$A$4:$F$203,3,0))</f>
        <v/>
      </c>
      <c r="H87" s="318" t="str">
        <f t="shared" si="8"/>
        <v/>
      </c>
      <c r="I87" s="319"/>
      <c r="J87" s="318" t="str">
        <f>IF(ISBLANK(A87),"",VLOOKUP(B87,Ceilings!$A$4:$F$203,4,0))</f>
        <v/>
      </c>
      <c r="K87" s="318" t="str">
        <f t="shared" si="9"/>
        <v/>
      </c>
      <c r="L87" s="319"/>
      <c r="M87" s="318" t="str">
        <f>IF(ISBLANK(A87),"",VLOOKUP(B87,Ceilings!$A$4:$F$203,5,0))</f>
        <v/>
      </c>
      <c r="N87" s="318" t="str">
        <f t="shared" si="10"/>
        <v/>
      </c>
      <c r="O87" s="319"/>
      <c r="P87" s="318" t="str">
        <f>IF(ISBLANK(A87),"",VLOOKUP(B87,Ceilings!$A$4:$F$203,6,0))</f>
        <v/>
      </c>
      <c r="Q87" s="233" t="str">
        <f t="shared" si="11"/>
        <v/>
      </c>
    </row>
    <row r="88" spans="1:17">
      <c r="A88" s="313"/>
      <c r="B88" s="314" t="str">
        <f>IF(ISBLANK(A88),"",VLOOKUP(A88,Management!$A$11:$C$25,2,0))</f>
        <v/>
      </c>
      <c r="C88" s="315"/>
      <c r="D88" s="93" t="str">
        <f t="shared" si="6"/>
        <v/>
      </c>
      <c r="E88" s="316" t="str">
        <f t="shared" si="7"/>
        <v/>
      </c>
      <c r="F88" s="317"/>
      <c r="G88" s="318" t="str">
        <f>IF(ISBLANK(A88),"",VLOOKUP(B88,Ceilings!$A$4:$F$203,3,0))</f>
        <v/>
      </c>
      <c r="H88" s="318" t="str">
        <f t="shared" si="8"/>
        <v/>
      </c>
      <c r="I88" s="319"/>
      <c r="J88" s="318" t="str">
        <f>IF(ISBLANK(A88),"",VLOOKUP(B88,Ceilings!$A$4:$F$203,4,0))</f>
        <v/>
      </c>
      <c r="K88" s="318" t="str">
        <f t="shared" si="9"/>
        <v/>
      </c>
      <c r="L88" s="319"/>
      <c r="M88" s="318" t="str">
        <f>IF(ISBLANK(A88),"",VLOOKUP(B88,Ceilings!$A$4:$F$203,5,0))</f>
        <v/>
      </c>
      <c r="N88" s="318" t="str">
        <f t="shared" si="10"/>
        <v/>
      </c>
      <c r="O88" s="319"/>
      <c r="P88" s="318" t="str">
        <f>IF(ISBLANK(A88),"",VLOOKUP(B88,Ceilings!$A$4:$F$203,6,0))</f>
        <v/>
      </c>
      <c r="Q88" s="233" t="str">
        <f t="shared" si="11"/>
        <v/>
      </c>
    </row>
    <row r="89" spans="1:17">
      <c r="A89" s="313"/>
      <c r="B89" s="314" t="str">
        <f>IF(ISBLANK(A89),"",VLOOKUP(A89,Management!$A$11:$C$25,2,0))</f>
        <v/>
      </c>
      <c r="C89" s="315"/>
      <c r="D89" s="93" t="str">
        <f t="shared" si="6"/>
        <v/>
      </c>
      <c r="E89" s="316" t="str">
        <f t="shared" si="7"/>
        <v/>
      </c>
      <c r="F89" s="317"/>
      <c r="G89" s="318" t="str">
        <f>IF(ISBLANK(A89),"",VLOOKUP(B89,Ceilings!$A$4:$F$203,3,0))</f>
        <v/>
      </c>
      <c r="H89" s="318" t="str">
        <f t="shared" si="8"/>
        <v/>
      </c>
      <c r="I89" s="319"/>
      <c r="J89" s="318" t="str">
        <f>IF(ISBLANK(A89),"",VLOOKUP(B89,Ceilings!$A$4:$F$203,4,0))</f>
        <v/>
      </c>
      <c r="K89" s="318" t="str">
        <f t="shared" si="9"/>
        <v/>
      </c>
      <c r="L89" s="319"/>
      <c r="M89" s="318" t="str">
        <f>IF(ISBLANK(A89),"",VLOOKUP(B89,Ceilings!$A$4:$F$203,5,0))</f>
        <v/>
      </c>
      <c r="N89" s="318" t="str">
        <f t="shared" si="10"/>
        <v/>
      </c>
      <c r="O89" s="319"/>
      <c r="P89" s="318" t="str">
        <f>IF(ISBLANK(A89),"",VLOOKUP(B89,Ceilings!$A$4:$F$203,6,0))</f>
        <v/>
      </c>
      <c r="Q89" s="233" t="str">
        <f t="shared" si="11"/>
        <v/>
      </c>
    </row>
    <row r="90" spans="1:17">
      <c r="A90" s="313"/>
      <c r="B90" s="314" t="str">
        <f>IF(ISBLANK(A90),"",VLOOKUP(A90,Management!$A$11:$C$25,2,0))</f>
        <v/>
      </c>
      <c r="C90" s="315"/>
      <c r="D90" s="93" t="str">
        <f t="shared" si="6"/>
        <v/>
      </c>
      <c r="E90" s="316" t="str">
        <f t="shared" si="7"/>
        <v/>
      </c>
      <c r="F90" s="317"/>
      <c r="G90" s="318" t="str">
        <f>IF(ISBLANK(A90),"",VLOOKUP(B90,Ceilings!$A$4:$F$203,3,0))</f>
        <v/>
      </c>
      <c r="H90" s="318" t="str">
        <f t="shared" si="8"/>
        <v/>
      </c>
      <c r="I90" s="319"/>
      <c r="J90" s="318" t="str">
        <f>IF(ISBLANK(A90),"",VLOOKUP(B90,Ceilings!$A$4:$F$203,4,0))</f>
        <v/>
      </c>
      <c r="K90" s="318" t="str">
        <f t="shared" si="9"/>
        <v/>
      </c>
      <c r="L90" s="319"/>
      <c r="M90" s="318" t="str">
        <f>IF(ISBLANK(A90),"",VLOOKUP(B90,Ceilings!$A$4:$F$203,5,0))</f>
        <v/>
      </c>
      <c r="N90" s="318" t="str">
        <f t="shared" si="10"/>
        <v/>
      </c>
      <c r="O90" s="319"/>
      <c r="P90" s="318" t="str">
        <f>IF(ISBLANK(A90),"",VLOOKUP(B90,Ceilings!$A$4:$F$203,6,0))</f>
        <v/>
      </c>
      <c r="Q90" s="233" t="str">
        <f t="shared" si="11"/>
        <v/>
      </c>
    </row>
    <row r="91" spans="1:17">
      <c r="A91" s="313"/>
      <c r="B91" s="314" t="str">
        <f>IF(ISBLANK(A91),"",VLOOKUP(A91,Management!$A$11:$C$25,2,0))</f>
        <v/>
      </c>
      <c r="C91" s="315"/>
      <c r="D91" s="93" t="str">
        <f t="shared" si="6"/>
        <v/>
      </c>
      <c r="E91" s="316" t="str">
        <f t="shared" si="7"/>
        <v/>
      </c>
      <c r="F91" s="317"/>
      <c r="G91" s="318" t="str">
        <f>IF(ISBLANK(A91),"",VLOOKUP(B91,Ceilings!$A$4:$F$203,3,0))</f>
        <v/>
      </c>
      <c r="H91" s="318" t="str">
        <f t="shared" si="8"/>
        <v/>
      </c>
      <c r="I91" s="319"/>
      <c r="J91" s="318" t="str">
        <f>IF(ISBLANK(A91),"",VLOOKUP(B91,Ceilings!$A$4:$F$203,4,0))</f>
        <v/>
      </c>
      <c r="K91" s="318" t="str">
        <f t="shared" si="9"/>
        <v/>
      </c>
      <c r="L91" s="319"/>
      <c r="M91" s="318" t="str">
        <f>IF(ISBLANK(A91),"",VLOOKUP(B91,Ceilings!$A$4:$F$203,5,0))</f>
        <v/>
      </c>
      <c r="N91" s="318" t="str">
        <f t="shared" si="10"/>
        <v/>
      </c>
      <c r="O91" s="319"/>
      <c r="P91" s="318" t="str">
        <f>IF(ISBLANK(A91),"",VLOOKUP(B91,Ceilings!$A$4:$F$203,6,0))</f>
        <v/>
      </c>
      <c r="Q91" s="233" t="str">
        <f t="shared" si="11"/>
        <v/>
      </c>
    </row>
    <row r="92" spans="1:17">
      <c r="A92" s="313"/>
      <c r="B92" s="314" t="str">
        <f>IF(ISBLANK(A92),"",VLOOKUP(A92,Management!$A$11:$C$25,2,0))</f>
        <v/>
      </c>
      <c r="C92" s="315"/>
      <c r="D92" s="93" t="str">
        <f t="shared" si="6"/>
        <v/>
      </c>
      <c r="E92" s="316" t="str">
        <f t="shared" si="7"/>
        <v/>
      </c>
      <c r="F92" s="317"/>
      <c r="G92" s="318" t="str">
        <f>IF(ISBLANK(A92),"",VLOOKUP(B92,Ceilings!$A$4:$F$203,3,0))</f>
        <v/>
      </c>
      <c r="H92" s="318" t="str">
        <f t="shared" si="8"/>
        <v/>
      </c>
      <c r="I92" s="319"/>
      <c r="J92" s="318" t="str">
        <f>IF(ISBLANK(A92),"",VLOOKUP(B92,Ceilings!$A$4:$F$203,4,0))</f>
        <v/>
      </c>
      <c r="K92" s="318" t="str">
        <f t="shared" si="9"/>
        <v/>
      </c>
      <c r="L92" s="319"/>
      <c r="M92" s="318" t="str">
        <f>IF(ISBLANK(A92),"",VLOOKUP(B92,Ceilings!$A$4:$F$203,5,0))</f>
        <v/>
      </c>
      <c r="N92" s="318" t="str">
        <f t="shared" si="10"/>
        <v/>
      </c>
      <c r="O92" s="319"/>
      <c r="P92" s="318" t="str">
        <f>IF(ISBLANK(A92),"",VLOOKUP(B92,Ceilings!$A$4:$F$203,6,0))</f>
        <v/>
      </c>
      <c r="Q92" s="233" t="str">
        <f t="shared" si="11"/>
        <v/>
      </c>
    </row>
    <row r="93" spans="1:17">
      <c r="A93" s="313"/>
      <c r="B93" s="314" t="str">
        <f>IF(ISBLANK(A93),"",VLOOKUP(A93,Management!$A$11:$C$25,2,0))</f>
        <v/>
      </c>
      <c r="C93" s="315"/>
      <c r="D93" s="93" t="str">
        <f t="shared" si="6"/>
        <v/>
      </c>
      <c r="E93" s="316" t="str">
        <f t="shared" si="7"/>
        <v/>
      </c>
      <c r="F93" s="317"/>
      <c r="G93" s="318" t="str">
        <f>IF(ISBLANK(A93),"",VLOOKUP(B93,Ceilings!$A$4:$F$203,3,0))</f>
        <v/>
      </c>
      <c r="H93" s="318" t="str">
        <f t="shared" si="8"/>
        <v/>
      </c>
      <c r="I93" s="319"/>
      <c r="J93" s="318" t="str">
        <f>IF(ISBLANK(A93),"",VLOOKUP(B93,Ceilings!$A$4:$F$203,4,0))</f>
        <v/>
      </c>
      <c r="K93" s="318" t="str">
        <f t="shared" si="9"/>
        <v/>
      </c>
      <c r="L93" s="319"/>
      <c r="M93" s="318" t="str">
        <f>IF(ISBLANK(A93),"",VLOOKUP(B93,Ceilings!$A$4:$F$203,5,0))</f>
        <v/>
      </c>
      <c r="N93" s="318" t="str">
        <f t="shared" si="10"/>
        <v/>
      </c>
      <c r="O93" s="319"/>
      <c r="P93" s="318" t="str">
        <f>IF(ISBLANK(A93),"",VLOOKUP(B93,Ceilings!$A$4:$F$203,6,0))</f>
        <v/>
      </c>
      <c r="Q93" s="233" t="str">
        <f t="shared" si="11"/>
        <v/>
      </c>
    </row>
    <row r="94" spans="1:17">
      <c r="A94" s="313"/>
      <c r="B94" s="314" t="str">
        <f>IF(ISBLANK(A94),"",VLOOKUP(A94,Management!$A$11:$C$25,2,0))</f>
        <v/>
      </c>
      <c r="C94" s="315"/>
      <c r="D94" s="93" t="str">
        <f t="shared" si="6"/>
        <v/>
      </c>
      <c r="E94" s="316" t="str">
        <f t="shared" si="7"/>
        <v/>
      </c>
      <c r="F94" s="317"/>
      <c r="G94" s="318" t="str">
        <f>IF(ISBLANK(A94),"",VLOOKUP(B94,Ceilings!$A$4:$F$203,3,0))</f>
        <v/>
      </c>
      <c r="H94" s="318" t="str">
        <f t="shared" si="8"/>
        <v/>
      </c>
      <c r="I94" s="319"/>
      <c r="J94" s="318" t="str">
        <f>IF(ISBLANK(A94),"",VLOOKUP(B94,Ceilings!$A$4:$F$203,4,0))</f>
        <v/>
      </c>
      <c r="K94" s="318" t="str">
        <f t="shared" si="9"/>
        <v/>
      </c>
      <c r="L94" s="319"/>
      <c r="M94" s="318" t="str">
        <f>IF(ISBLANK(A94),"",VLOOKUP(B94,Ceilings!$A$4:$F$203,5,0))</f>
        <v/>
      </c>
      <c r="N94" s="318" t="str">
        <f t="shared" si="10"/>
        <v/>
      </c>
      <c r="O94" s="319"/>
      <c r="P94" s="318" t="str">
        <f>IF(ISBLANK(A94),"",VLOOKUP(B94,Ceilings!$A$4:$F$203,6,0))</f>
        <v/>
      </c>
      <c r="Q94" s="233" t="str">
        <f t="shared" si="11"/>
        <v/>
      </c>
    </row>
    <row r="95" spans="1:17">
      <c r="A95" s="313"/>
      <c r="B95" s="314" t="str">
        <f>IF(ISBLANK(A95),"",VLOOKUP(A95,Management!$A$11:$C$25,2,0))</f>
        <v/>
      </c>
      <c r="C95" s="315"/>
      <c r="D95" s="93" t="str">
        <f t="shared" si="6"/>
        <v/>
      </c>
      <c r="E95" s="316" t="str">
        <f t="shared" si="7"/>
        <v/>
      </c>
      <c r="F95" s="317"/>
      <c r="G95" s="318" t="str">
        <f>IF(ISBLANK(A95),"",VLOOKUP(B95,Ceilings!$A$4:$F$203,3,0))</f>
        <v/>
      </c>
      <c r="H95" s="318" t="str">
        <f t="shared" si="8"/>
        <v/>
      </c>
      <c r="I95" s="319"/>
      <c r="J95" s="318" t="str">
        <f>IF(ISBLANK(A95),"",VLOOKUP(B95,Ceilings!$A$4:$F$203,4,0))</f>
        <v/>
      </c>
      <c r="K95" s="318" t="str">
        <f t="shared" si="9"/>
        <v/>
      </c>
      <c r="L95" s="319"/>
      <c r="M95" s="318" t="str">
        <f>IF(ISBLANK(A95),"",VLOOKUP(B95,Ceilings!$A$4:$F$203,5,0))</f>
        <v/>
      </c>
      <c r="N95" s="318" t="str">
        <f t="shared" si="10"/>
        <v/>
      </c>
      <c r="O95" s="319"/>
      <c r="P95" s="318" t="str">
        <f>IF(ISBLANK(A95),"",VLOOKUP(B95,Ceilings!$A$4:$F$203,6,0))</f>
        <v/>
      </c>
      <c r="Q95" s="233" t="str">
        <f t="shared" si="11"/>
        <v/>
      </c>
    </row>
    <row r="96" spans="1:17">
      <c r="A96" s="313"/>
      <c r="B96" s="314" t="str">
        <f>IF(ISBLANK(A96),"",VLOOKUP(A96,Management!$A$11:$C$25,2,0))</f>
        <v/>
      </c>
      <c r="C96" s="315"/>
      <c r="D96" s="93" t="str">
        <f t="shared" si="6"/>
        <v/>
      </c>
      <c r="E96" s="316" t="str">
        <f t="shared" si="7"/>
        <v/>
      </c>
      <c r="F96" s="317"/>
      <c r="G96" s="318" t="str">
        <f>IF(ISBLANK(A96),"",VLOOKUP(B96,Ceilings!$A$4:$F$203,3,0))</f>
        <v/>
      </c>
      <c r="H96" s="318" t="str">
        <f t="shared" si="8"/>
        <v/>
      </c>
      <c r="I96" s="319"/>
      <c r="J96" s="318" t="str">
        <f>IF(ISBLANK(A96),"",VLOOKUP(B96,Ceilings!$A$4:$F$203,4,0))</f>
        <v/>
      </c>
      <c r="K96" s="318" t="str">
        <f t="shared" si="9"/>
        <v/>
      </c>
      <c r="L96" s="319"/>
      <c r="M96" s="318" t="str">
        <f>IF(ISBLANK(A96),"",VLOOKUP(B96,Ceilings!$A$4:$F$203,5,0))</f>
        <v/>
      </c>
      <c r="N96" s="318" t="str">
        <f t="shared" si="10"/>
        <v/>
      </c>
      <c r="O96" s="319"/>
      <c r="P96" s="318" t="str">
        <f>IF(ISBLANK(A96),"",VLOOKUP(B96,Ceilings!$A$4:$F$203,6,0))</f>
        <v/>
      </c>
      <c r="Q96" s="233" t="str">
        <f t="shared" si="11"/>
        <v/>
      </c>
    </row>
    <row r="97" spans="1:17">
      <c r="A97" s="313"/>
      <c r="B97" s="314" t="str">
        <f>IF(ISBLANK(A97),"",VLOOKUP(A97,Management!$A$11:$C$25,2,0))</f>
        <v/>
      </c>
      <c r="C97" s="315"/>
      <c r="D97" s="93" t="str">
        <f t="shared" si="6"/>
        <v/>
      </c>
      <c r="E97" s="316" t="str">
        <f t="shared" si="7"/>
        <v/>
      </c>
      <c r="F97" s="317"/>
      <c r="G97" s="318" t="str">
        <f>IF(ISBLANK(A97),"",VLOOKUP(B97,Ceilings!$A$4:$F$203,3,0))</f>
        <v/>
      </c>
      <c r="H97" s="318" t="str">
        <f t="shared" si="8"/>
        <v/>
      </c>
      <c r="I97" s="319"/>
      <c r="J97" s="318" t="str">
        <f>IF(ISBLANK(A97),"",VLOOKUP(B97,Ceilings!$A$4:$F$203,4,0))</f>
        <v/>
      </c>
      <c r="K97" s="318" t="str">
        <f t="shared" si="9"/>
        <v/>
      </c>
      <c r="L97" s="319"/>
      <c r="M97" s="318" t="str">
        <f>IF(ISBLANK(A97),"",VLOOKUP(B97,Ceilings!$A$4:$F$203,5,0))</f>
        <v/>
      </c>
      <c r="N97" s="318" t="str">
        <f t="shared" si="10"/>
        <v/>
      </c>
      <c r="O97" s="319"/>
      <c r="P97" s="318" t="str">
        <f>IF(ISBLANK(A97),"",VLOOKUP(B97,Ceilings!$A$4:$F$203,6,0))</f>
        <v/>
      </c>
      <c r="Q97" s="233" t="str">
        <f t="shared" si="11"/>
        <v/>
      </c>
    </row>
    <row r="98" spans="1:17">
      <c r="A98" s="313"/>
      <c r="B98" s="314" t="str">
        <f>IF(ISBLANK(A98),"",VLOOKUP(A98,Management!$A$11:$C$25,2,0))</f>
        <v/>
      </c>
      <c r="C98" s="315"/>
      <c r="D98" s="93" t="str">
        <f t="shared" si="6"/>
        <v/>
      </c>
      <c r="E98" s="316" t="str">
        <f t="shared" si="7"/>
        <v/>
      </c>
      <c r="F98" s="317"/>
      <c r="G98" s="318" t="str">
        <f>IF(ISBLANK(A98),"",VLOOKUP(B98,Ceilings!$A$4:$F$203,3,0))</f>
        <v/>
      </c>
      <c r="H98" s="318" t="str">
        <f t="shared" si="8"/>
        <v/>
      </c>
      <c r="I98" s="319"/>
      <c r="J98" s="318" t="str">
        <f>IF(ISBLANK(A98),"",VLOOKUP(B98,Ceilings!$A$4:$F$203,4,0))</f>
        <v/>
      </c>
      <c r="K98" s="318" t="str">
        <f t="shared" si="9"/>
        <v/>
      </c>
      <c r="L98" s="319"/>
      <c r="M98" s="318" t="str">
        <f>IF(ISBLANK(A98),"",VLOOKUP(B98,Ceilings!$A$4:$F$203,5,0))</f>
        <v/>
      </c>
      <c r="N98" s="318" t="str">
        <f t="shared" si="10"/>
        <v/>
      </c>
      <c r="O98" s="319"/>
      <c r="P98" s="318" t="str">
        <f>IF(ISBLANK(A98),"",VLOOKUP(B98,Ceilings!$A$4:$F$203,6,0))</f>
        <v/>
      </c>
      <c r="Q98" s="233" t="str">
        <f t="shared" si="11"/>
        <v/>
      </c>
    </row>
    <row r="99" spans="1:17">
      <c r="A99" s="313"/>
      <c r="B99" s="314" t="str">
        <f>IF(ISBLANK(A99),"",VLOOKUP(A99,Management!$A$11:$C$25,2,0))</f>
        <v/>
      </c>
      <c r="C99" s="315"/>
      <c r="D99" s="93" t="str">
        <f t="shared" si="6"/>
        <v/>
      </c>
      <c r="E99" s="316" t="str">
        <f t="shared" si="7"/>
        <v/>
      </c>
      <c r="F99" s="317"/>
      <c r="G99" s="318" t="str">
        <f>IF(ISBLANK(A99),"",VLOOKUP(B99,Ceilings!$A$4:$F$203,3,0))</f>
        <v/>
      </c>
      <c r="H99" s="318" t="str">
        <f t="shared" si="8"/>
        <v/>
      </c>
      <c r="I99" s="319"/>
      <c r="J99" s="318" t="str">
        <f>IF(ISBLANK(A99),"",VLOOKUP(B99,Ceilings!$A$4:$F$203,4,0))</f>
        <v/>
      </c>
      <c r="K99" s="318" t="str">
        <f t="shared" si="9"/>
        <v/>
      </c>
      <c r="L99" s="319"/>
      <c r="M99" s="318" t="str">
        <f>IF(ISBLANK(A99),"",VLOOKUP(B99,Ceilings!$A$4:$F$203,5,0))</f>
        <v/>
      </c>
      <c r="N99" s="318" t="str">
        <f t="shared" si="10"/>
        <v/>
      </c>
      <c r="O99" s="319"/>
      <c r="P99" s="318" t="str">
        <f>IF(ISBLANK(A99),"",VLOOKUP(B99,Ceilings!$A$4:$F$203,6,0))</f>
        <v/>
      </c>
      <c r="Q99" s="233" t="str">
        <f t="shared" si="11"/>
        <v/>
      </c>
    </row>
    <row r="100" spans="1:17">
      <c r="A100" s="313"/>
      <c r="B100" s="314" t="str">
        <f>IF(ISBLANK(A100),"",VLOOKUP(A100,Management!$A$11:$C$25,2,0))</f>
        <v/>
      </c>
      <c r="C100" s="315"/>
      <c r="D100" s="93" t="str">
        <f t="shared" si="6"/>
        <v/>
      </c>
      <c r="E100" s="316" t="str">
        <f t="shared" si="7"/>
        <v/>
      </c>
      <c r="F100" s="317"/>
      <c r="G100" s="318" t="str">
        <f>IF(ISBLANK(A100),"",VLOOKUP(B100,Ceilings!$A$4:$F$203,3,0))</f>
        <v/>
      </c>
      <c r="H100" s="318" t="str">
        <f t="shared" si="8"/>
        <v/>
      </c>
      <c r="I100" s="319"/>
      <c r="J100" s="318" t="str">
        <f>IF(ISBLANK(A100),"",VLOOKUP(B100,Ceilings!$A$4:$F$203,4,0))</f>
        <v/>
      </c>
      <c r="K100" s="318" t="str">
        <f t="shared" si="9"/>
        <v/>
      </c>
      <c r="L100" s="319"/>
      <c r="M100" s="318" t="str">
        <f>IF(ISBLANK(A100),"",VLOOKUP(B100,Ceilings!$A$4:$F$203,5,0))</f>
        <v/>
      </c>
      <c r="N100" s="318" t="str">
        <f t="shared" si="10"/>
        <v/>
      </c>
      <c r="O100" s="319"/>
      <c r="P100" s="318" t="str">
        <f>IF(ISBLANK(A100),"",VLOOKUP(B100,Ceilings!$A$4:$F$203,6,0))</f>
        <v/>
      </c>
      <c r="Q100" s="233" t="str">
        <f t="shared" si="11"/>
        <v/>
      </c>
    </row>
    <row r="101" spans="1:17">
      <c r="A101" s="313"/>
      <c r="B101" s="314" t="str">
        <f>IF(ISBLANK(A101),"",VLOOKUP(A101,Management!$A$11:$C$25,2,0))</f>
        <v/>
      </c>
      <c r="C101" s="315"/>
      <c r="D101" s="93" t="str">
        <f t="shared" si="6"/>
        <v/>
      </c>
      <c r="E101" s="316" t="str">
        <f t="shared" si="7"/>
        <v/>
      </c>
      <c r="F101" s="317"/>
      <c r="G101" s="318" t="str">
        <f>IF(ISBLANK(A101),"",VLOOKUP(B101,Ceilings!$A$4:$F$203,3,0))</f>
        <v/>
      </c>
      <c r="H101" s="318" t="str">
        <f t="shared" si="8"/>
        <v/>
      </c>
      <c r="I101" s="319"/>
      <c r="J101" s="318" t="str">
        <f>IF(ISBLANK(A101),"",VLOOKUP(B101,Ceilings!$A$4:$F$203,4,0))</f>
        <v/>
      </c>
      <c r="K101" s="318" t="str">
        <f t="shared" si="9"/>
        <v/>
      </c>
      <c r="L101" s="319"/>
      <c r="M101" s="318" t="str">
        <f>IF(ISBLANK(A101),"",VLOOKUP(B101,Ceilings!$A$4:$F$203,5,0))</f>
        <v/>
      </c>
      <c r="N101" s="318" t="str">
        <f t="shared" si="10"/>
        <v/>
      </c>
      <c r="O101" s="319"/>
      <c r="P101" s="318" t="str">
        <f>IF(ISBLANK(A101),"",VLOOKUP(B101,Ceilings!$A$4:$F$203,6,0))</f>
        <v/>
      </c>
      <c r="Q101" s="233" t="str">
        <f t="shared" si="11"/>
        <v/>
      </c>
    </row>
    <row r="102" spans="1:17">
      <c r="A102" s="313"/>
      <c r="B102" s="314" t="str">
        <f>IF(ISBLANK(A102),"",VLOOKUP(A102,Management!$A$11:$C$25,2,0))</f>
        <v/>
      </c>
      <c r="C102" s="315"/>
      <c r="D102" s="93" t="str">
        <f t="shared" si="6"/>
        <v/>
      </c>
      <c r="E102" s="316" t="str">
        <f t="shared" si="7"/>
        <v/>
      </c>
      <c r="F102" s="317"/>
      <c r="G102" s="318" t="str">
        <f>IF(ISBLANK(A102),"",VLOOKUP(B102,Ceilings!$A$4:$F$203,3,0))</f>
        <v/>
      </c>
      <c r="H102" s="318" t="str">
        <f t="shared" si="8"/>
        <v/>
      </c>
      <c r="I102" s="319"/>
      <c r="J102" s="318" t="str">
        <f>IF(ISBLANK(A102),"",VLOOKUP(B102,Ceilings!$A$4:$F$203,4,0))</f>
        <v/>
      </c>
      <c r="K102" s="318" t="str">
        <f t="shared" si="9"/>
        <v/>
      </c>
      <c r="L102" s="319"/>
      <c r="M102" s="318" t="str">
        <f>IF(ISBLANK(A102),"",VLOOKUP(B102,Ceilings!$A$4:$F$203,5,0))</f>
        <v/>
      </c>
      <c r="N102" s="318" t="str">
        <f t="shared" si="10"/>
        <v/>
      </c>
      <c r="O102" s="319"/>
      <c r="P102" s="318" t="str">
        <f>IF(ISBLANK(A102),"",VLOOKUP(B102,Ceilings!$A$4:$F$203,6,0))</f>
        <v/>
      </c>
      <c r="Q102" s="233" t="str">
        <f t="shared" si="11"/>
        <v/>
      </c>
    </row>
    <row r="103" spans="1:17">
      <c r="A103" s="313"/>
      <c r="B103" s="314" t="str">
        <f>IF(ISBLANK(A103),"",VLOOKUP(A103,Management!$A$11:$C$25,2,0))</f>
        <v/>
      </c>
      <c r="C103" s="315"/>
      <c r="D103" s="93" t="str">
        <f t="shared" si="6"/>
        <v/>
      </c>
      <c r="E103" s="316" t="str">
        <f t="shared" si="7"/>
        <v/>
      </c>
      <c r="F103" s="317"/>
      <c r="G103" s="318" t="str">
        <f>IF(ISBLANK(A103),"",VLOOKUP(B103,Ceilings!$A$4:$F$203,3,0))</f>
        <v/>
      </c>
      <c r="H103" s="318" t="str">
        <f t="shared" si="8"/>
        <v/>
      </c>
      <c r="I103" s="319"/>
      <c r="J103" s="318" t="str">
        <f>IF(ISBLANK(A103),"",VLOOKUP(B103,Ceilings!$A$4:$F$203,4,0))</f>
        <v/>
      </c>
      <c r="K103" s="318" t="str">
        <f t="shared" si="9"/>
        <v/>
      </c>
      <c r="L103" s="319"/>
      <c r="M103" s="318" t="str">
        <f>IF(ISBLANK(A103),"",VLOOKUP(B103,Ceilings!$A$4:$F$203,5,0))</f>
        <v/>
      </c>
      <c r="N103" s="318" t="str">
        <f t="shared" si="10"/>
        <v/>
      </c>
      <c r="O103" s="319"/>
      <c r="P103" s="318" t="str">
        <f>IF(ISBLANK(A103),"",VLOOKUP(B103,Ceilings!$A$4:$F$203,6,0))</f>
        <v/>
      </c>
      <c r="Q103" s="233" t="str">
        <f t="shared" si="11"/>
        <v/>
      </c>
    </row>
    <row r="104" spans="1:17">
      <c r="A104" s="313"/>
      <c r="B104" s="314" t="str">
        <f>IF(ISBLANK(A104),"",VLOOKUP(A104,Management!$A$11:$C$25,2,0))</f>
        <v/>
      </c>
      <c r="C104" s="315"/>
      <c r="D104" s="93" t="str">
        <f t="shared" si="6"/>
        <v/>
      </c>
      <c r="E104" s="316" t="str">
        <f t="shared" si="7"/>
        <v/>
      </c>
      <c r="F104" s="317"/>
      <c r="G104" s="318" t="str">
        <f>IF(ISBLANK(A104),"",VLOOKUP(B104,Ceilings!$A$4:$F$203,3,0))</f>
        <v/>
      </c>
      <c r="H104" s="318" t="str">
        <f t="shared" si="8"/>
        <v/>
      </c>
      <c r="I104" s="319"/>
      <c r="J104" s="318" t="str">
        <f>IF(ISBLANK(A104),"",VLOOKUP(B104,Ceilings!$A$4:$F$203,4,0))</f>
        <v/>
      </c>
      <c r="K104" s="318" t="str">
        <f t="shared" si="9"/>
        <v/>
      </c>
      <c r="L104" s="319"/>
      <c r="M104" s="318" t="str">
        <f>IF(ISBLANK(A104),"",VLOOKUP(B104,Ceilings!$A$4:$F$203,5,0))</f>
        <v/>
      </c>
      <c r="N104" s="318" t="str">
        <f t="shared" si="10"/>
        <v/>
      </c>
      <c r="O104" s="319"/>
      <c r="P104" s="318" t="str">
        <f>IF(ISBLANK(A104),"",VLOOKUP(B104,Ceilings!$A$4:$F$203,6,0))</f>
        <v/>
      </c>
      <c r="Q104" s="233" t="str">
        <f t="shared" si="11"/>
        <v/>
      </c>
    </row>
    <row r="105" spans="1:17">
      <c r="A105" s="313"/>
      <c r="B105" s="314" t="str">
        <f>IF(ISBLANK(A105),"",VLOOKUP(A105,Management!$A$11:$C$25,2,0))</f>
        <v/>
      </c>
      <c r="C105" s="315"/>
      <c r="D105" s="93" t="str">
        <f t="shared" si="6"/>
        <v/>
      </c>
      <c r="E105" s="316" t="str">
        <f t="shared" si="7"/>
        <v/>
      </c>
      <c r="F105" s="317"/>
      <c r="G105" s="318" t="str">
        <f>IF(ISBLANK(A105),"",VLOOKUP(B105,Ceilings!$A$4:$F$203,3,0))</f>
        <v/>
      </c>
      <c r="H105" s="318" t="str">
        <f t="shared" si="8"/>
        <v/>
      </c>
      <c r="I105" s="319"/>
      <c r="J105" s="318" t="str">
        <f>IF(ISBLANK(A105),"",VLOOKUP(B105,Ceilings!$A$4:$F$203,4,0))</f>
        <v/>
      </c>
      <c r="K105" s="318" t="str">
        <f t="shared" si="9"/>
        <v/>
      </c>
      <c r="L105" s="319"/>
      <c r="M105" s="318" t="str">
        <f>IF(ISBLANK(A105),"",VLOOKUP(B105,Ceilings!$A$4:$F$203,5,0))</f>
        <v/>
      </c>
      <c r="N105" s="318" t="str">
        <f t="shared" si="10"/>
        <v/>
      </c>
      <c r="O105" s="319"/>
      <c r="P105" s="318" t="str">
        <f>IF(ISBLANK(A105),"",VLOOKUP(B105,Ceilings!$A$4:$F$203,6,0))</f>
        <v/>
      </c>
      <c r="Q105" s="233" t="str">
        <f t="shared" si="11"/>
        <v/>
      </c>
    </row>
    <row r="106" spans="1:17">
      <c r="A106" s="313"/>
      <c r="B106" s="314" t="str">
        <f>IF(ISBLANK(A106),"",VLOOKUP(A106,Management!$A$11:$C$25,2,0))</f>
        <v/>
      </c>
      <c r="C106" s="315"/>
      <c r="D106" s="93" t="str">
        <f t="shared" si="6"/>
        <v/>
      </c>
      <c r="E106" s="316" t="str">
        <f t="shared" si="7"/>
        <v/>
      </c>
      <c r="F106" s="317"/>
      <c r="G106" s="318" t="str">
        <f>IF(ISBLANK(A106),"",VLOOKUP(B106,Ceilings!$A$4:$F$203,3,0))</f>
        <v/>
      </c>
      <c r="H106" s="318" t="str">
        <f t="shared" si="8"/>
        <v/>
      </c>
      <c r="I106" s="319"/>
      <c r="J106" s="318" t="str">
        <f>IF(ISBLANK(A106),"",VLOOKUP(B106,Ceilings!$A$4:$F$203,4,0))</f>
        <v/>
      </c>
      <c r="K106" s="318" t="str">
        <f t="shared" si="9"/>
        <v/>
      </c>
      <c r="L106" s="319"/>
      <c r="M106" s="318" t="str">
        <f>IF(ISBLANK(A106),"",VLOOKUP(B106,Ceilings!$A$4:$F$203,5,0))</f>
        <v/>
      </c>
      <c r="N106" s="318" t="str">
        <f t="shared" si="10"/>
        <v/>
      </c>
      <c r="O106" s="319"/>
      <c r="P106" s="318" t="str">
        <f>IF(ISBLANK(A106),"",VLOOKUP(B106,Ceilings!$A$4:$F$203,6,0))</f>
        <v/>
      </c>
      <c r="Q106" s="233" t="str">
        <f t="shared" si="11"/>
        <v/>
      </c>
    </row>
    <row r="107" spans="1:17">
      <c r="A107" s="313"/>
      <c r="B107" s="314" t="str">
        <f>IF(ISBLANK(A107),"",VLOOKUP(A107,Management!$A$11:$C$25,2,0))</f>
        <v/>
      </c>
      <c r="C107" s="315"/>
      <c r="D107" s="93" t="str">
        <f t="shared" si="6"/>
        <v/>
      </c>
      <c r="E107" s="316" t="str">
        <f t="shared" si="7"/>
        <v/>
      </c>
      <c r="F107" s="317"/>
      <c r="G107" s="318" t="str">
        <f>IF(ISBLANK(A107),"",VLOOKUP(B107,Ceilings!$A$4:$F$203,3,0))</f>
        <v/>
      </c>
      <c r="H107" s="318" t="str">
        <f t="shared" si="8"/>
        <v/>
      </c>
      <c r="I107" s="319"/>
      <c r="J107" s="318" t="str">
        <f>IF(ISBLANK(A107),"",VLOOKUP(B107,Ceilings!$A$4:$F$203,4,0))</f>
        <v/>
      </c>
      <c r="K107" s="318" t="str">
        <f t="shared" si="9"/>
        <v/>
      </c>
      <c r="L107" s="319"/>
      <c r="M107" s="318" t="str">
        <f>IF(ISBLANK(A107),"",VLOOKUP(B107,Ceilings!$A$4:$F$203,5,0))</f>
        <v/>
      </c>
      <c r="N107" s="318" t="str">
        <f t="shared" si="10"/>
        <v/>
      </c>
      <c r="O107" s="319"/>
      <c r="P107" s="318" t="str">
        <f>IF(ISBLANK(A107),"",VLOOKUP(B107,Ceilings!$A$4:$F$203,6,0))</f>
        <v/>
      </c>
      <c r="Q107" s="233" t="str">
        <f t="shared" si="11"/>
        <v/>
      </c>
    </row>
    <row r="108" spans="1:17">
      <c r="A108" s="313"/>
      <c r="B108" s="314" t="str">
        <f>IF(ISBLANK(A108),"",VLOOKUP(A108,Management!$A$11:$C$25,2,0))</f>
        <v/>
      </c>
      <c r="C108" s="315"/>
      <c r="D108" s="93" t="str">
        <f t="shared" si="6"/>
        <v/>
      </c>
      <c r="E108" s="316" t="str">
        <f t="shared" si="7"/>
        <v/>
      </c>
      <c r="F108" s="317"/>
      <c r="G108" s="318" t="str">
        <f>IF(ISBLANK(A108),"",VLOOKUP(B108,Ceilings!$A$4:$F$203,3,0))</f>
        <v/>
      </c>
      <c r="H108" s="318" t="str">
        <f t="shared" si="8"/>
        <v/>
      </c>
      <c r="I108" s="319"/>
      <c r="J108" s="318" t="str">
        <f>IF(ISBLANK(A108),"",VLOOKUP(B108,Ceilings!$A$4:$F$203,4,0))</f>
        <v/>
      </c>
      <c r="K108" s="318" t="str">
        <f t="shared" si="9"/>
        <v/>
      </c>
      <c r="L108" s="319"/>
      <c r="M108" s="318" t="str">
        <f>IF(ISBLANK(A108),"",VLOOKUP(B108,Ceilings!$A$4:$F$203,5,0))</f>
        <v/>
      </c>
      <c r="N108" s="318" t="str">
        <f t="shared" si="10"/>
        <v/>
      </c>
      <c r="O108" s="319"/>
      <c r="P108" s="318" t="str">
        <f>IF(ISBLANK(A108),"",VLOOKUP(B108,Ceilings!$A$4:$F$203,6,0))</f>
        <v/>
      </c>
      <c r="Q108" s="233" t="str">
        <f t="shared" si="11"/>
        <v/>
      </c>
    </row>
    <row r="109" spans="1:17" ht="13.5" thickBot="1">
      <c r="A109" s="321"/>
      <c r="B109" s="73" t="str">
        <f>IF(ISBLANK(A109),"",VLOOKUP(A109,Management!$A$11:$C$25,2,0))</f>
        <v/>
      </c>
      <c r="C109" s="322"/>
      <c r="D109" s="97" t="str">
        <f t="shared" si="6"/>
        <v/>
      </c>
      <c r="E109" s="323" t="str">
        <f t="shared" si="7"/>
        <v/>
      </c>
      <c r="F109" s="324"/>
      <c r="G109" s="325" t="str">
        <f>IF(ISBLANK(A109),"",VLOOKUP(B109,Ceilings!$A$4:$F$203,3,0))</f>
        <v/>
      </c>
      <c r="H109" s="325" t="str">
        <f t="shared" si="8"/>
        <v/>
      </c>
      <c r="I109" s="326"/>
      <c r="J109" s="325" t="str">
        <f>IF(ISBLANK(A109),"",VLOOKUP(B109,Ceilings!$A$4:$F$203,4,0))</f>
        <v/>
      </c>
      <c r="K109" s="325" t="str">
        <f t="shared" si="9"/>
        <v/>
      </c>
      <c r="L109" s="326"/>
      <c r="M109" s="325" t="str">
        <f>IF(ISBLANK(A109),"",VLOOKUP(B109,Ceilings!$A$4:$F$203,5,0))</f>
        <v/>
      </c>
      <c r="N109" s="325" t="str">
        <f t="shared" si="10"/>
        <v/>
      </c>
      <c r="O109" s="326"/>
      <c r="P109" s="325" t="str">
        <f>IF(ISBLANK(A109),"",VLOOKUP(B109,Ceilings!$A$4:$F$203,6,0))</f>
        <v/>
      </c>
      <c r="Q109" s="236" t="str">
        <f t="shared" si="11"/>
        <v/>
      </c>
    </row>
    <row r="111" spans="1:17">
      <c r="A111" s="327"/>
    </row>
  </sheetData>
  <sheetProtection password="CBC2" sheet="1" objects="1" scenarios="1" sort="0" autoFilter="0"/>
  <mergeCells count="10">
    <mergeCell ref="A4:A5"/>
    <mergeCell ref="B4:B5"/>
    <mergeCell ref="D4:D5"/>
    <mergeCell ref="E4:E5"/>
    <mergeCell ref="C4:C5"/>
    <mergeCell ref="F3:Q3"/>
    <mergeCell ref="F4:H4"/>
    <mergeCell ref="I4:K4"/>
    <mergeCell ref="L4:N4"/>
    <mergeCell ref="O4:Q4"/>
  </mergeCells>
  <phoneticPr fontId="7" type="noConversion"/>
  <dataValidations count="1">
    <dataValidation type="list" allowBlank="1" showInputMessage="1" showErrorMessage="1" sqref="A8:A109">
      <formula1>Partners</formula1>
    </dataValidation>
  </dataValidations>
  <printOptions horizontalCentered="1"/>
  <pageMargins left="0.7" right="0.7" top="0.75" bottom="0.75" header="0.3" footer="0.3"/>
  <pageSetup paperSize="9" scale="67" fitToHeight="0" orientation="landscape" r:id="rId1"/>
  <headerFooter>
    <oddHeader>&amp;C&amp;11 2017. E+ KA202&amp;RVersion: 2017.02.16. - TKA</oddHeader>
    <oddFooter>&amp;C&amp;"Arial,Félkövér"&amp;A&amp;R&amp;P. oldal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I36"/>
  <sheetViews>
    <sheetView zoomScaleNormal="100" zoomScaleSheetLayoutView="100" workbookViewId="0">
      <selection activeCell="A6" sqref="A6"/>
    </sheetView>
  </sheetViews>
  <sheetFormatPr defaultColWidth="8.85546875" defaultRowHeight="12.75"/>
  <cols>
    <col min="1" max="1" width="20" style="44" customWidth="1"/>
    <col min="2" max="2" width="16.85546875" style="39" customWidth="1"/>
    <col min="3" max="3" width="25.140625" style="39" customWidth="1"/>
    <col min="4" max="4" width="15.140625" style="41" customWidth="1"/>
    <col min="5" max="5" width="10" style="56" customWidth="1"/>
    <col min="6" max="6" width="11" style="57" customWidth="1"/>
    <col min="7" max="7" width="13.28515625" style="57" customWidth="1"/>
    <col min="8" max="8" width="11.7109375" style="57" customWidth="1"/>
    <col min="9" max="9" width="32.42578125" style="55" customWidth="1"/>
    <col min="10" max="16384" width="8.85546875" style="12"/>
  </cols>
  <sheetData>
    <row r="1" spans="1:9" s="468" customFormat="1" ht="24.75" customHeight="1">
      <c r="A1" s="145" t="s">
        <v>143</v>
      </c>
      <c r="B1" s="146"/>
      <c r="C1" s="542" t="s">
        <v>496</v>
      </c>
      <c r="D1" s="542"/>
      <c r="E1" s="542"/>
      <c r="F1" s="46"/>
      <c r="G1" s="466" t="s">
        <v>309</v>
      </c>
      <c r="H1" s="467">
        <v>100</v>
      </c>
      <c r="I1" s="45"/>
    </row>
    <row r="2" spans="1:9" s="468" customFormat="1" ht="24.75" customHeight="1" thickBot="1">
      <c r="A2" s="149" t="s">
        <v>0</v>
      </c>
      <c r="B2" s="150"/>
      <c r="C2" s="542"/>
      <c r="D2" s="542"/>
      <c r="E2" s="542"/>
      <c r="F2" s="46"/>
      <c r="G2" s="469" t="s">
        <v>310</v>
      </c>
      <c r="H2" s="470">
        <v>200</v>
      </c>
      <c r="I2" s="45"/>
    </row>
    <row r="3" spans="1:9" s="139" customFormat="1" ht="13.5" customHeight="1" thickBot="1">
      <c r="A3" s="148"/>
      <c r="B3" s="148"/>
      <c r="C3" s="148"/>
      <c r="D3" s="148"/>
      <c r="E3" s="148"/>
      <c r="F3" s="148"/>
      <c r="G3" s="148"/>
      <c r="H3" s="148"/>
      <c r="I3" s="138"/>
    </row>
    <row r="4" spans="1:9" s="49" customFormat="1" ht="26.25" thickBot="1">
      <c r="A4" s="164" t="s">
        <v>483</v>
      </c>
      <c r="B4" s="165" t="s">
        <v>486</v>
      </c>
      <c r="C4" s="165" t="s">
        <v>133</v>
      </c>
      <c r="D4" s="176" t="s">
        <v>410</v>
      </c>
      <c r="E4" s="177" t="s">
        <v>122</v>
      </c>
      <c r="F4" s="178" t="s">
        <v>134</v>
      </c>
      <c r="G4" s="178" t="s">
        <v>135</v>
      </c>
      <c r="H4" s="178" t="s">
        <v>136</v>
      </c>
      <c r="I4" s="48"/>
    </row>
    <row r="5" spans="1:9" s="46" customFormat="1" ht="13.5" customHeight="1" thickBot="1">
      <c r="A5" s="186"/>
      <c r="B5" s="428"/>
      <c r="C5" s="209"/>
      <c r="D5" s="209"/>
      <c r="E5" s="171" t="s">
        <v>321</v>
      </c>
      <c r="F5" s="50">
        <f>SUM(F6:F36)</f>
        <v>0</v>
      </c>
      <c r="G5" s="51">
        <f>SUM(G6:G36)</f>
        <v>0</v>
      </c>
      <c r="H5" s="246">
        <f>SUM(H6:H36)</f>
        <v>0</v>
      </c>
      <c r="I5" s="52" t="str">
        <f>IF(H5&gt;30000,"Maximum 30 000 EUR per project!","")</f>
        <v/>
      </c>
    </row>
    <row r="6" spans="1:9" ht="13.5" customHeight="1">
      <c r="A6" s="422"/>
      <c r="B6" s="421" t="str">
        <f>IF(ISBLANK(A6),"",VLOOKUP(A6,Management!$A$11:$B$25,2,0))</f>
        <v/>
      </c>
      <c r="C6" s="425"/>
      <c r="D6" s="107"/>
      <c r="E6" s="58"/>
      <c r="F6" s="59"/>
      <c r="G6" s="59"/>
      <c r="H6" s="221" t="str">
        <f>IF(ISBLANK(A6),"",IF(OR(ISBLANK(C6),ISBLANK(D6),ISBLANK(E6),AND(ISBLANK(F6),ISBLANK(G6))),"Missing data",F6*$H$1+G6*$H$2))</f>
        <v/>
      </c>
    </row>
    <row r="7" spans="1:9">
      <c r="A7" s="423"/>
      <c r="B7" s="429" t="str">
        <f>IF(ISBLANK(A7),"",VLOOKUP(A7,Management!$A$11:$B$25,2,0))</f>
        <v/>
      </c>
      <c r="C7" s="426"/>
      <c r="D7" s="108"/>
      <c r="E7" s="60"/>
      <c r="F7" s="61"/>
      <c r="G7" s="61"/>
      <c r="H7" s="93" t="str">
        <f t="shared" ref="H7:H36" si="0">IF(ISBLANK(A7),"",IF(OR(ISBLANK(C7),ISBLANK(D7),ISBLANK(E7),AND(ISBLANK(F7),ISBLANK(G7))),"Missing data",F7*$H$1+G7*$H$2))</f>
        <v/>
      </c>
    </row>
    <row r="8" spans="1:9">
      <c r="A8" s="423"/>
      <c r="B8" s="429" t="str">
        <f>IF(ISBLANK(A8),"",VLOOKUP(A8,Management!$A$11:$B$25,2,0))</f>
        <v/>
      </c>
      <c r="C8" s="426"/>
      <c r="D8" s="108"/>
      <c r="E8" s="60"/>
      <c r="F8" s="61"/>
      <c r="G8" s="61"/>
      <c r="H8" s="93" t="str">
        <f t="shared" si="0"/>
        <v/>
      </c>
    </row>
    <row r="9" spans="1:9">
      <c r="A9" s="423"/>
      <c r="B9" s="429" t="str">
        <f>IF(ISBLANK(A9),"",VLOOKUP(A9,Management!$A$11:$B$25,2,0))</f>
        <v/>
      </c>
      <c r="C9" s="426"/>
      <c r="D9" s="108"/>
      <c r="E9" s="60"/>
      <c r="F9" s="61"/>
      <c r="G9" s="61"/>
      <c r="H9" s="93" t="str">
        <f t="shared" si="0"/>
        <v/>
      </c>
    </row>
    <row r="10" spans="1:9">
      <c r="A10" s="423"/>
      <c r="B10" s="429" t="str">
        <f>IF(ISBLANK(A10),"",VLOOKUP(A10,Management!$A$11:$B$25,2,0))</f>
        <v/>
      </c>
      <c r="C10" s="426"/>
      <c r="D10" s="108"/>
      <c r="E10" s="60"/>
      <c r="F10" s="61"/>
      <c r="G10" s="61"/>
      <c r="H10" s="93" t="str">
        <f t="shared" si="0"/>
        <v/>
      </c>
    </row>
    <row r="11" spans="1:9" ht="13.5" customHeight="1">
      <c r="A11" s="423"/>
      <c r="B11" s="429" t="str">
        <f>IF(ISBLANK(A11),"",VLOOKUP(A11,Management!$A$11:$B$25,2,0))</f>
        <v/>
      </c>
      <c r="C11" s="426"/>
      <c r="D11" s="108"/>
      <c r="E11" s="60"/>
      <c r="F11" s="61"/>
      <c r="G11" s="61"/>
      <c r="H11" s="93" t="str">
        <f t="shared" si="0"/>
        <v/>
      </c>
    </row>
    <row r="12" spans="1:9">
      <c r="A12" s="423"/>
      <c r="B12" s="429" t="str">
        <f>IF(ISBLANK(A12),"",VLOOKUP(A12,Management!$A$11:$B$25,2,0))</f>
        <v/>
      </c>
      <c r="C12" s="426"/>
      <c r="D12" s="108"/>
      <c r="E12" s="60"/>
      <c r="F12" s="61"/>
      <c r="G12" s="61"/>
      <c r="H12" s="93" t="str">
        <f t="shared" si="0"/>
        <v/>
      </c>
    </row>
    <row r="13" spans="1:9">
      <c r="A13" s="423"/>
      <c r="B13" s="429" t="str">
        <f>IF(ISBLANK(A13),"",VLOOKUP(A13,Management!$A$11:$B$25,2,0))</f>
        <v/>
      </c>
      <c r="C13" s="426"/>
      <c r="D13" s="108"/>
      <c r="E13" s="60"/>
      <c r="F13" s="61"/>
      <c r="G13" s="61"/>
      <c r="H13" s="93" t="str">
        <f t="shared" si="0"/>
        <v/>
      </c>
    </row>
    <row r="14" spans="1:9">
      <c r="A14" s="423"/>
      <c r="B14" s="429" t="str">
        <f>IF(ISBLANK(A14),"",VLOOKUP(A14,Management!$A$11:$B$25,2,0))</f>
        <v/>
      </c>
      <c r="C14" s="426"/>
      <c r="D14" s="108"/>
      <c r="E14" s="60"/>
      <c r="F14" s="61"/>
      <c r="G14" s="61"/>
      <c r="H14" s="93" t="str">
        <f t="shared" si="0"/>
        <v/>
      </c>
    </row>
    <row r="15" spans="1:9">
      <c r="A15" s="423"/>
      <c r="B15" s="429" t="str">
        <f>IF(ISBLANK(A15),"",VLOOKUP(A15,Management!$A$11:$B$25,2,0))</f>
        <v/>
      </c>
      <c r="C15" s="426"/>
      <c r="D15" s="108"/>
      <c r="E15" s="60"/>
      <c r="F15" s="61"/>
      <c r="G15" s="61"/>
      <c r="H15" s="93" t="str">
        <f t="shared" si="0"/>
        <v/>
      </c>
    </row>
    <row r="16" spans="1:9" ht="13.5" customHeight="1">
      <c r="A16" s="423"/>
      <c r="B16" s="429" t="str">
        <f>IF(ISBLANK(A16),"",VLOOKUP(A16,Management!$A$11:$B$25,2,0))</f>
        <v/>
      </c>
      <c r="C16" s="426"/>
      <c r="D16" s="108"/>
      <c r="E16" s="60"/>
      <c r="F16" s="61"/>
      <c r="G16" s="61"/>
      <c r="H16" s="93" t="str">
        <f t="shared" si="0"/>
        <v/>
      </c>
    </row>
    <row r="17" spans="1:8">
      <c r="A17" s="423"/>
      <c r="B17" s="429" t="str">
        <f>IF(ISBLANK(A17),"",VLOOKUP(A17,Management!$A$11:$B$25,2,0))</f>
        <v/>
      </c>
      <c r="C17" s="426"/>
      <c r="D17" s="108"/>
      <c r="E17" s="60"/>
      <c r="F17" s="61"/>
      <c r="G17" s="61"/>
      <c r="H17" s="93" t="str">
        <f t="shared" si="0"/>
        <v/>
      </c>
    </row>
    <row r="18" spans="1:8">
      <c r="A18" s="423"/>
      <c r="B18" s="429" t="str">
        <f>IF(ISBLANK(A18),"",VLOOKUP(A18,Management!$A$11:$B$25,2,0))</f>
        <v/>
      </c>
      <c r="C18" s="426"/>
      <c r="D18" s="108"/>
      <c r="E18" s="60"/>
      <c r="F18" s="61"/>
      <c r="G18" s="61"/>
      <c r="H18" s="93" t="str">
        <f t="shared" si="0"/>
        <v/>
      </c>
    </row>
    <row r="19" spans="1:8">
      <c r="A19" s="423"/>
      <c r="B19" s="429" t="str">
        <f>IF(ISBLANK(A19),"",VLOOKUP(A19,Management!$A$11:$B$25,2,0))</f>
        <v/>
      </c>
      <c r="C19" s="426"/>
      <c r="D19" s="108"/>
      <c r="E19" s="60"/>
      <c r="F19" s="61"/>
      <c r="G19" s="61"/>
      <c r="H19" s="93" t="str">
        <f t="shared" si="0"/>
        <v/>
      </c>
    </row>
    <row r="20" spans="1:8">
      <c r="A20" s="423"/>
      <c r="B20" s="429" t="str">
        <f>IF(ISBLANK(A20),"",VLOOKUP(A20,Management!$A$11:$B$25,2,0))</f>
        <v/>
      </c>
      <c r="C20" s="426"/>
      <c r="D20" s="108"/>
      <c r="E20" s="60"/>
      <c r="F20" s="61"/>
      <c r="G20" s="61"/>
      <c r="H20" s="93" t="str">
        <f t="shared" si="0"/>
        <v/>
      </c>
    </row>
    <row r="21" spans="1:8" ht="13.5" customHeight="1">
      <c r="A21" s="423"/>
      <c r="B21" s="429" t="str">
        <f>IF(ISBLANK(A21),"",VLOOKUP(A21,Management!$A$11:$B$25,2,0))</f>
        <v/>
      </c>
      <c r="C21" s="426"/>
      <c r="D21" s="108"/>
      <c r="E21" s="60"/>
      <c r="F21" s="61"/>
      <c r="G21" s="61"/>
      <c r="H21" s="93" t="str">
        <f t="shared" si="0"/>
        <v/>
      </c>
    </row>
    <row r="22" spans="1:8">
      <c r="A22" s="423"/>
      <c r="B22" s="429" t="str">
        <f>IF(ISBLANK(A22),"",VLOOKUP(A22,Management!$A$11:$B$25,2,0))</f>
        <v/>
      </c>
      <c r="C22" s="426"/>
      <c r="D22" s="108"/>
      <c r="E22" s="60"/>
      <c r="F22" s="61"/>
      <c r="G22" s="61"/>
      <c r="H22" s="93" t="str">
        <f t="shared" si="0"/>
        <v/>
      </c>
    </row>
    <row r="23" spans="1:8">
      <c r="A23" s="423"/>
      <c r="B23" s="429" t="str">
        <f>IF(ISBLANK(A23),"",VLOOKUP(A23,Management!$A$11:$B$25,2,0))</f>
        <v/>
      </c>
      <c r="C23" s="426"/>
      <c r="D23" s="108"/>
      <c r="E23" s="60"/>
      <c r="F23" s="61"/>
      <c r="G23" s="61"/>
      <c r="H23" s="93" t="str">
        <f t="shared" si="0"/>
        <v/>
      </c>
    </row>
    <row r="24" spans="1:8">
      <c r="A24" s="423"/>
      <c r="B24" s="429" t="str">
        <f>IF(ISBLANK(A24),"",VLOOKUP(A24,Management!$A$11:$B$25,2,0))</f>
        <v/>
      </c>
      <c r="C24" s="426"/>
      <c r="D24" s="108"/>
      <c r="E24" s="60"/>
      <c r="F24" s="61"/>
      <c r="G24" s="61"/>
      <c r="H24" s="93" t="str">
        <f t="shared" si="0"/>
        <v/>
      </c>
    </row>
    <row r="25" spans="1:8">
      <c r="A25" s="423"/>
      <c r="B25" s="429" t="str">
        <f>IF(ISBLANK(A25),"",VLOOKUP(A25,Management!$A$11:$B$25,2,0))</f>
        <v/>
      </c>
      <c r="C25" s="426"/>
      <c r="D25" s="108"/>
      <c r="E25" s="60"/>
      <c r="F25" s="61"/>
      <c r="G25" s="61"/>
      <c r="H25" s="93" t="str">
        <f t="shared" si="0"/>
        <v/>
      </c>
    </row>
    <row r="26" spans="1:8" ht="13.5" customHeight="1">
      <c r="A26" s="423"/>
      <c r="B26" s="429" t="str">
        <f>IF(ISBLANK(A26),"",VLOOKUP(A26,Management!$A$11:$B$25,2,0))</f>
        <v/>
      </c>
      <c r="C26" s="426"/>
      <c r="D26" s="108"/>
      <c r="E26" s="60"/>
      <c r="F26" s="61"/>
      <c r="G26" s="61"/>
      <c r="H26" s="93" t="str">
        <f t="shared" si="0"/>
        <v/>
      </c>
    </row>
    <row r="27" spans="1:8">
      <c r="A27" s="423"/>
      <c r="B27" s="429" t="str">
        <f>IF(ISBLANK(A27),"",VLOOKUP(A27,Management!$A$11:$B$25,2,0))</f>
        <v/>
      </c>
      <c r="C27" s="426"/>
      <c r="D27" s="108"/>
      <c r="E27" s="60"/>
      <c r="F27" s="61"/>
      <c r="G27" s="61"/>
      <c r="H27" s="93" t="str">
        <f t="shared" si="0"/>
        <v/>
      </c>
    </row>
    <row r="28" spans="1:8">
      <c r="A28" s="423"/>
      <c r="B28" s="429" t="str">
        <f>IF(ISBLANK(A28),"",VLOOKUP(A28,Management!$A$11:$B$25,2,0))</f>
        <v/>
      </c>
      <c r="C28" s="426"/>
      <c r="D28" s="108"/>
      <c r="E28" s="60"/>
      <c r="F28" s="61"/>
      <c r="G28" s="61"/>
      <c r="H28" s="93" t="str">
        <f t="shared" si="0"/>
        <v/>
      </c>
    </row>
    <row r="29" spans="1:8">
      <c r="A29" s="423"/>
      <c r="B29" s="429" t="str">
        <f>IF(ISBLANK(A29),"",VLOOKUP(A29,Management!$A$11:$B$25,2,0))</f>
        <v/>
      </c>
      <c r="C29" s="426"/>
      <c r="D29" s="108"/>
      <c r="E29" s="60"/>
      <c r="F29" s="61"/>
      <c r="G29" s="61"/>
      <c r="H29" s="93" t="str">
        <f t="shared" si="0"/>
        <v/>
      </c>
    </row>
    <row r="30" spans="1:8">
      <c r="A30" s="423"/>
      <c r="B30" s="429" t="str">
        <f>IF(ISBLANK(A30),"",VLOOKUP(A30,Management!$A$11:$B$25,2,0))</f>
        <v/>
      </c>
      <c r="C30" s="426"/>
      <c r="D30" s="108"/>
      <c r="E30" s="60"/>
      <c r="F30" s="61"/>
      <c r="G30" s="61"/>
      <c r="H30" s="93" t="str">
        <f t="shared" si="0"/>
        <v/>
      </c>
    </row>
    <row r="31" spans="1:8" ht="13.5" customHeight="1">
      <c r="A31" s="423"/>
      <c r="B31" s="429" t="str">
        <f>IF(ISBLANK(A31),"",VLOOKUP(A31,Management!$A$11:$B$25,2,0))</f>
        <v/>
      </c>
      <c r="C31" s="426"/>
      <c r="D31" s="108"/>
      <c r="E31" s="60"/>
      <c r="F31" s="61"/>
      <c r="G31" s="61"/>
      <c r="H31" s="93" t="str">
        <f t="shared" si="0"/>
        <v/>
      </c>
    </row>
    <row r="32" spans="1:8">
      <c r="A32" s="423"/>
      <c r="B32" s="429" t="str">
        <f>IF(ISBLANK(A32),"",VLOOKUP(A32,Management!$A$11:$B$25,2,0))</f>
        <v/>
      </c>
      <c r="C32" s="426"/>
      <c r="D32" s="108"/>
      <c r="E32" s="60"/>
      <c r="F32" s="61"/>
      <c r="G32" s="61"/>
      <c r="H32" s="93" t="str">
        <f t="shared" si="0"/>
        <v/>
      </c>
    </row>
    <row r="33" spans="1:8">
      <c r="A33" s="423"/>
      <c r="B33" s="429" t="str">
        <f>IF(ISBLANK(A33),"",VLOOKUP(A33,Management!$A$11:$B$25,2,0))</f>
        <v/>
      </c>
      <c r="C33" s="426"/>
      <c r="D33" s="108"/>
      <c r="E33" s="60"/>
      <c r="F33" s="61"/>
      <c r="G33" s="61"/>
      <c r="H33" s="93" t="str">
        <f t="shared" si="0"/>
        <v/>
      </c>
    </row>
    <row r="34" spans="1:8">
      <c r="A34" s="423"/>
      <c r="B34" s="429" t="str">
        <f>IF(ISBLANK(A34),"",VLOOKUP(A34,Management!$A$11:$B$25,2,0))</f>
        <v/>
      </c>
      <c r="C34" s="426"/>
      <c r="D34" s="108"/>
      <c r="E34" s="60"/>
      <c r="F34" s="61"/>
      <c r="G34" s="61"/>
      <c r="H34" s="93" t="str">
        <f t="shared" si="0"/>
        <v/>
      </c>
    </row>
    <row r="35" spans="1:8">
      <c r="A35" s="423"/>
      <c r="B35" s="429" t="str">
        <f>IF(ISBLANK(A35),"",VLOOKUP(A35,Management!$A$11:$B$25,2,0))</f>
        <v/>
      </c>
      <c r="C35" s="426"/>
      <c r="D35" s="108"/>
      <c r="E35" s="60"/>
      <c r="F35" s="61"/>
      <c r="G35" s="61"/>
      <c r="H35" s="93" t="str">
        <f t="shared" si="0"/>
        <v/>
      </c>
    </row>
    <row r="36" spans="1:8" ht="13.5" customHeight="1" thickBot="1">
      <c r="A36" s="424"/>
      <c r="B36" s="430" t="str">
        <f>IF(ISBLANK(A36),"",VLOOKUP(A36,Management!$A$11:$B$25,2,0))</f>
        <v/>
      </c>
      <c r="C36" s="427"/>
      <c r="D36" s="109"/>
      <c r="E36" s="62"/>
      <c r="F36" s="63"/>
      <c r="G36" s="63"/>
      <c r="H36" s="97" t="str">
        <f t="shared" si="0"/>
        <v/>
      </c>
    </row>
  </sheetData>
  <sheetProtection password="CBC2" sheet="1" objects="1" scenarios="1" sort="0" autoFilter="0"/>
  <mergeCells count="1">
    <mergeCell ref="C1:E2"/>
  </mergeCells>
  <phoneticPr fontId="7" type="noConversion"/>
  <conditionalFormatting sqref="H5">
    <cfRule type="expression" dxfId="18" priority="1" stopIfTrue="1">
      <formula>I5&lt;&gt;""</formula>
    </cfRule>
  </conditionalFormatting>
  <dataValidations count="3">
    <dataValidation type="date" allowBlank="1" showInputMessage="1" showErrorMessage="1" error="Out of project time frame" sqref="D6:D36">
      <formula1>Start</formula1>
      <formula2>End</formula2>
    </dataValidation>
    <dataValidation type="list" allowBlank="1" showInputMessage="1" showErrorMessage="1" sqref="A6:A36">
      <formula1>Partners</formula1>
    </dataValidation>
    <dataValidation type="list" allowBlank="1" showInputMessage="1" showErrorMessage="1" sqref="B6:B36">
      <formula1>EUint</formula1>
    </dataValidation>
  </dataValidations>
  <printOptions horizontalCentered="1"/>
  <pageMargins left="0.59055118110236227" right="0.59055118110236227" top="0.6692913385826772" bottom="0.59055118110236227" header="0.31496062992125984" footer="0.31496062992125984"/>
  <pageSetup paperSize="9" orientation="landscape" r:id="rId1"/>
  <headerFooter>
    <oddHeader>&amp;C&amp;11 2017. E+ KA202&amp;R&amp;9Version: 2017.02.16. - TKA</oddHeader>
    <oddFooter>&amp;C&amp;"Arial,Félkövér"&amp;A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008000"/>
    <pageSetUpPr fitToPage="1"/>
  </sheetPr>
  <dimension ref="A1:IY38"/>
  <sheetViews>
    <sheetView zoomScale="85" zoomScaleNormal="85" zoomScalePageLayoutView="85" workbookViewId="0">
      <selection activeCell="A7" sqref="A7"/>
    </sheetView>
  </sheetViews>
  <sheetFormatPr defaultColWidth="8.85546875" defaultRowHeight="12.75"/>
  <cols>
    <col min="1" max="1" width="19.42578125" style="74" customWidth="1"/>
    <col min="2" max="2" width="16.28515625" style="75" customWidth="1"/>
    <col min="3" max="3" width="6.85546875" style="56" bestFit="1" customWidth="1"/>
    <col min="4" max="4" width="36" style="76" customWidth="1"/>
    <col min="5" max="5" width="10.140625" style="56" customWidth="1"/>
    <col min="6" max="6" width="5.28515625" style="56" customWidth="1"/>
    <col min="7" max="7" width="5.140625" style="56" customWidth="1"/>
    <col min="8" max="8" width="10.28515625" style="56" customWidth="1"/>
    <col min="9" max="9" width="5.28515625" style="56" customWidth="1"/>
    <col min="10" max="10" width="5" style="56" bestFit="1" customWidth="1"/>
    <col min="11" max="11" width="8.42578125" style="70" customWidth="1"/>
    <col min="12" max="12" width="17.28515625" style="77" bestFit="1" customWidth="1"/>
    <col min="13" max="13" width="5.28515625" style="56" customWidth="1"/>
    <col min="14" max="14" width="10" style="57" bestFit="1" customWidth="1"/>
    <col min="15" max="15" width="10.42578125" style="57" customWidth="1"/>
    <col min="16" max="16" width="10.7109375" style="57" customWidth="1"/>
    <col min="17" max="17" width="9.140625" style="57" customWidth="1"/>
    <col min="18" max="18" width="10.28515625" style="57" customWidth="1"/>
    <col min="19" max="19" width="9.140625" style="57" customWidth="1"/>
    <col min="20" max="20" width="9.85546875" style="57" customWidth="1"/>
    <col min="21" max="16384" width="8.85546875" style="70"/>
  </cols>
  <sheetData>
    <row r="1" spans="1:259" s="465" customFormat="1" ht="15.75">
      <c r="A1" s="188" t="s">
        <v>413</v>
      </c>
      <c r="B1" s="189"/>
      <c r="C1" s="463"/>
      <c r="D1" s="464"/>
      <c r="E1" s="463"/>
      <c r="G1" s="565" t="s">
        <v>423</v>
      </c>
      <c r="H1" s="566"/>
      <c r="I1" s="566"/>
      <c r="J1" s="566"/>
      <c r="K1" s="566"/>
      <c r="L1" s="566"/>
      <c r="M1" s="566"/>
      <c r="N1" s="566"/>
      <c r="O1" s="566"/>
      <c r="P1" s="566"/>
      <c r="Q1" s="567"/>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row>
    <row r="2" spans="1:259" s="465" customFormat="1" ht="16.5" thickBot="1">
      <c r="A2" s="190" t="s">
        <v>0</v>
      </c>
      <c r="B2" s="568" t="s">
        <v>490</v>
      </c>
      <c r="C2" s="568"/>
      <c r="E2" s="189"/>
      <c r="G2" s="569" t="s">
        <v>489</v>
      </c>
      <c r="H2" s="570"/>
      <c r="I2" s="570"/>
      <c r="J2" s="570"/>
      <c r="K2" s="570"/>
      <c r="L2" s="570"/>
      <c r="M2" s="570"/>
      <c r="N2" s="570"/>
      <c r="O2" s="570"/>
      <c r="P2" s="570"/>
      <c r="Q2" s="571"/>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70"/>
      <c r="EB2" s="70"/>
      <c r="EC2" s="70"/>
      <c r="ED2" s="70"/>
      <c r="EE2" s="70"/>
      <c r="EF2" s="70"/>
      <c r="EG2" s="70"/>
      <c r="EH2" s="70"/>
      <c r="EI2" s="70"/>
      <c r="EJ2" s="70"/>
      <c r="EK2" s="70"/>
      <c r="EL2" s="70"/>
      <c r="EM2" s="70"/>
      <c r="EN2" s="70"/>
      <c r="EO2" s="70"/>
      <c r="EP2" s="70"/>
      <c r="EQ2" s="70"/>
      <c r="ER2" s="70"/>
      <c r="ES2" s="70"/>
      <c r="ET2" s="70"/>
      <c r="EU2" s="70"/>
      <c r="EV2" s="70"/>
      <c r="EW2" s="70"/>
      <c r="EX2" s="70"/>
      <c r="EY2" s="70"/>
      <c r="EZ2" s="70"/>
      <c r="FA2" s="70"/>
      <c r="FB2" s="70"/>
      <c r="FC2" s="70"/>
      <c r="FD2" s="70"/>
      <c r="FE2" s="70"/>
      <c r="FF2" s="70"/>
      <c r="FG2" s="70"/>
      <c r="FH2" s="70"/>
      <c r="FI2" s="70"/>
      <c r="FJ2" s="70"/>
      <c r="FK2" s="70"/>
      <c r="FL2" s="70"/>
      <c r="FM2" s="70"/>
      <c r="FN2" s="70"/>
      <c r="FO2" s="70"/>
      <c r="FP2" s="70"/>
      <c r="FQ2" s="70"/>
      <c r="FR2" s="70"/>
      <c r="FS2" s="70"/>
      <c r="FT2" s="70"/>
      <c r="FU2" s="70"/>
      <c r="FV2" s="70"/>
      <c r="FW2" s="70"/>
      <c r="FX2" s="70"/>
      <c r="FY2" s="70"/>
      <c r="FZ2" s="70"/>
      <c r="GA2" s="70"/>
      <c r="GB2" s="70"/>
      <c r="GC2" s="70"/>
      <c r="GD2" s="70"/>
      <c r="GE2" s="70"/>
      <c r="GF2" s="70"/>
      <c r="GG2" s="70"/>
      <c r="GH2" s="70"/>
      <c r="GI2" s="70"/>
      <c r="GJ2" s="70"/>
      <c r="GK2" s="70"/>
      <c r="GL2" s="70"/>
      <c r="GM2" s="70"/>
      <c r="GN2" s="70"/>
      <c r="GO2" s="70"/>
      <c r="GP2" s="70"/>
      <c r="GQ2" s="70"/>
      <c r="GR2" s="70"/>
      <c r="GS2" s="70"/>
      <c r="GT2" s="70"/>
      <c r="GU2" s="70"/>
      <c r="GV2" s="70"/>
      <c r="GW2" s="70"/>
      <c r="GX2" s="70"/>
      <c r="GY2" s="70"/>
      <c r="GZ2" s="70"/>
      <c r="HA2" s="70"/>
      <c r="HB2" s="70"/>
      <c r="HC2" s="70"/>
      <c r="HD2" s="70"/>
      <c r="HE2" s="70"/>
      <c r="HF2" s="70"/>
      <c r="HG2" s="70"/>
      <c r="HH2" s="70"/>
      <c r="HI2" s="70"/>
      <c r="HJ2" s="70"/>
      <c r="HK2" s="70"/>
      <c r="HL2" s="70"/>
      <c r="HM2" s="70"/>
      <c r="HN2" s="70"/>
      <c r="HO2" s="70"/>
      <c r="HP2" s="70"/>
      <c r="HQ2" s="70"/>
      <c r="HR2" s="70"/>
      <c r="HS2" s="70"/>
      <c r="HT2" s="70"/>
      <c r="HU2" s="70"/>
      <c r="HV2" s="70"/>
      <c r="HW2" s="70"/>
      <c r="HX2" s="70"/>
      <c r="HY2" s="70"/>
      <c r="HZ2" s="70"/>
      <c r="IA2" s="70"/>
      <c r="IB2" s="70"/>
      <c r="IC2" s="70"/>
      <c r="ID2" s="70"/>
      <c r="IE2" s="70"/>
      <c r="IF2" s="70"/>
      <c r="IG2" s="70"/>
      <c r="IH2" s="70"/>
      <c r="II2" s="70"/>
      <c r="IJ2" s="70"/>
      <c r="IK2" s="70"/>
      <c r="IL2" s="70"/>
      <c r="IM2" s="70"/>
      <c r="IN2" s="70"/>
      <c r="IO2" s="70"/>
      <c r="IP2" s="70"/>
      <c r="IQ2" s="70"/>
      <c r="IR2" s="70"/>
      <c r="IS2" s="70"/>
      <c r="IT2" s="70"/>
      <c r="IU2" s="70"/>
      <c r="IV2" s="70"/>
      <c r="IW2" s="70"/>
      <c r="IX2" s="70"/>
      <c r="IY2" s="70"/>
    </row>
    <row r="3" spans="1:259" s="69" customFormat="1" ht="13.5" thickBot="1">
      <c r="A3" s="192" t="s">
        <v>1</v>
      </c>
      <c r="B3" s="193"/>
      <c r="C3" s="182"/>
      <c r="D3" s="194"/>
      <c r="E3" s="182"/>
      <c r="F3" s="182"/>
      <c r="G3" s="182"/>
      <c r="H3" s="182"/>
      <c r="I3" s="182"/>
      <c r="J3" s="182"/>
      <c r="K3" s="195"/>
      <c r="L3" s="196"/>
      <c r="M3" s="182"/>
      <c r="N3" s="183"/>
      <c r="O3" s="183"/>
      <c r="P3" s="183"/>
      <c r="Q3" s="183"/>
      <c r="R3" s="183"/>
      <c r="S3" s="183"/>
      <c r="T3" s="183"/>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70"/>
      <c r="GO3" s="70"/>
      <c r="GP3" s="70"/>
      <c r="GQ3" s="70"/>
      <c r="GR3" s="70"/>
      <c r="GS3" s="70"/>
      <c r="GT3" s="70"/>
      <c r="GU3" s="70"/>
      <c r="GV3" s="70"/>
      <c r="GW3" s="70"/>
      <c r="GX3" s="70"/>
      <c r="GY3" s="70"/>
      <c r="GZ3" s="70"/>
      <c r="HA3" s="70"/>
      <c r="HB3" s="70"/>
      <c r="HC3" s="70"/>
      <c r="HD3" s="70"/>
      <c r="HE3" s="70"/>
      <c r="HF3" s="70"/>
      <c r="HG3" s="70"/>
      <c r="HH3" s="70"/>
      <c r="HI3" s="70"/>
      <c r="HJ3" s="70"/>
      <c r="HK3" s="70"/>
      <c r="HL3" s="70"/>
      <c r="HM3" s="70"/>
      <c r="HN3" s="70"/>
      <c r="HO3" s="70"/>
      <c r="HP3" s="70"/>
      <c r="HQ3" s="70"/>
      <c r="HR3" s="70"/>
      <c r="HS3" s="70"/>
      <c r="HT3" s="70"/>
      <c r="HU3" s="70"/>
      <c r="HV3" s="70"/>
      <c r="HW3" s="70"/>
      <c r="HX3" s="70"/>
      <c r="HY3" s="70"/>
      <c r="HZ3" s="70"/>
      <c r="IA3" s="70"/>
      <c r="IB3" s="70"/>
      <c r="IC3" s="70"/>
      <c r="ID3" s="70"/>
      <c r="IE3" s="70"/>
      <c r="IF3" s="70"/>
      <c r="IG3" s="70"/>
      <c r="IH3" s="70"/>
      <c r="II3" s="70"/>
      <c r="IJ3" s="70"/>
      <c r="IK3" s="70"/>
      <c r="IL3" s="70"/>
      <c r="IM3" s="70"/>
      <c r="IN3" s="70"/>
      <c r="IO3" s="70"/>
      <c r="IP3" s="70"/>
      <c r="IQ3" s="70"/>
      <c r="IR3" s="70"/>
      <c r="IS3" s="70"/>
      <c r="IT3" s="70"/>
      <c r="IU3" s="70"/>
      <c r="IV3" s="70"/>
      <c r="IW3" s="70"/>
      <c r="IX3" s="70"/>
      <c r="IY3" s="70"/>
    </row>
    <row r="4" spans="1:259" s="69" customFormat="1" ht="12.75" customHeight="1">
      <c r="A4" s="518" t="s">
        <v>483</v>
      </c>
      <c r="B4" s="520" t="s">
        <v>32</v>
      </c>
      <c r="C4" s="524" t="s">
        <v>324</v>
      </c>
      <c r="D4" s="555" t="s">
        <v>144</v>
      </c>
      <c r="E4" s="524" t="s">
        <v>404</v>
      </c>
      <c r="F4" s="561" t="s">
        <v>427</v>
      </c>
      <c r="G4" s="562"/>
      <c r="H4" s="524" t="s">
        <v>403</v>
      </c>
      <c r="I4" s="557" t="s">
        <v>428</v>
      </c>
      <c r="J4" s="558"/>
      <c r="K4" s="547" t="s">
        <v>486</v>
      </c>
      <c r="L4" s="545" t="s">
        <v>120</v>
      </c>
      <c r="M4" s="549" t="s">
        <v>487</v>
      </c>
      <c r="N4" s="543" t="s">
        <v>146</v>
      </c>
      <c r="O4" s="553" t="s">
        <v>330</v>
      </c>
      <c r="P4" s="554"/>
      <c r="Q4" s="543"/>
      <c r="R4" s="551" t="s">
        <v>328</v>
      </c>
      <c r="S4" s="552"/>
      <c r="T4" s="526" t="s">
        <v>132</v>
      </c>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row>
    <row r="5" spans="1:259" s="100" customFormat="1" ht="26.25" thickBot="1">
      <c r="A5" s="519"/>
      <c r="B5" s="521"/>
      <c r="C5" s="525"/>
      <c r="D5" s="556"/>
      <c r="E5" s="525"/>
      <c r="F5" s="563"/>
      <c r="G5" s="564"/>
      <c r="H5" s="525"/>
      <c r="I5" s="559"/>
      <c r="J5" s="560"/>
      <c r="K5" s="548"/>
      <c r="L5" s="546"/>
      <c r="M5" s="550"/>
      <c r="N5" s="544"/>
      <c r="O5" s="197" t="s">
        <v>331</v>
      </c>
      <c r="P5" s="198" t="s">
        <v>405</v>
      </c>
      <c r="Q5" s="199" t="s">
        <v>329</v>
      </c>
      <c r="R5" s="276" t="s">
        <v>145</v>
      </c>
      <c r="S5" s="199" t="s">
        <v>329</v>
      </c>
      <c r="T5" s="527"/>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0"/>
      <c r="HB5" s="70"/>
      <c r="HC5" s="70"/>
      <c r="HD5" s="70"/>
      <c r="HE5" s="70"/>
      <c r="HF5" s="70"/>
      <c r="HG5" s="70"/>
      <c r="HH5" s="70"/>
      <c r="HI5" s="70"/>
      <c r="HJ5" s="70"/>
      <c r="HK5" s="70"/>
      <c r="HL5" s="70"/>
      <c r="HM5" s="70"/>
      <c r="HN5" s="70"/>
      <c r="HO5" s="70"/>
      <c r="HP5" s="70"/>
      <c r="HQ5" s="70"/>
      <c r="HR5" s="70"/>
      <c r="HS5" s="70"/>
      <c r="HT5" s="70"/>
      <c r="HU5" s="70"/>
      <c r="HV5" s="70"/>
      <c r="HW5" s="70"/>
      <c r="HX5" s="70"/>
      <c r="HY5" s="70"/>
      <c r="HZ5" s="70"/>
      <c r="IA5" s="70"/>
      <c r="IB5" s="70"/>
      <c r="IC5" s="70"/>
      <c r="ID5" s="70"/>
      <c r="IE5" s="70"/>
      <c r="IF5" s="70"/>
      <c r="IG5" s="70"/>
      <c r="IH5" s="70"/>
      <c r="II5" s="70"/>
      <c r="IJ5" s="70"/>
      <c r="IK5" s="70"/>
      <c r="IL5" s="70"/>
      <c r="IM5" s="70"/>
      <c r="IN5" s="70"/>
      <c r="IO5" s="70"/>
      <c r="IP5" s="70"/>
      <c r="IQ5" s="70"/>
      <c r="IR5" s="70"/>
      <c r="IS5" s="70"/>
      <c r="IT5" s="70"/>
      <c r="IU5" s="70"/>
      <c r="IV5" s="70"/>
      <c r="IW5" s="70"/>
      <c r="IX5" s="70"/>
      <c r="IY5" s="70"/>
    </row>
    <row r="6" spans="1:259" ht="13.5" thickBot="1">
      <c r="A6" s="200"/>
      <c r="B6" s="201"/>
      <c r="C6" s="202"/>
      <c r="D6" s="203"/>
      <c r="E6" s="202"/>
      <c r="F6" s="202"/>
      <c r="G6" s="202"/>
      <c r="H6" s="202"/>
      <c r="I6" s="202"/>
      <c r="J6" s="202"/>
      <c r="K6" s="455"/>
      <c r="L6" s="455"/>
      <c r="M6" s="462" t="s">
        <v>321</v>
      </c>
      <c r="N6" s="454">
        <f>SUM(N7:N37)</f>
        <v>0</v>
      </c>
      <c r="O6" s="228"/>
      <c r="P6" s="229"/>
      <c r="Q6" s="227">
        <f>SUM(Q7:Q37)</f>
        <v>0</v>
      </c>
      <c r="R6" s="228"/>
      <c r="S6" s="227">
        <f>SUM(S7:S37)</f>
        <v>0</v>
      </c>
      <c r="T6" s="335">
        <f>SUM(T7:T37)</f>
        <v>0</v>
      </c>
    </row>
    <row r="7" spans="1:259" ht="15.75" customHeight="1">
      <c r="A7" s="29"/>
      <c r="B7" s="71" t="str">
        <f>IF(ISBLANK(A7),"",VLOOKUP(A7,Management!$A$11:$C$25,2,0))</f>
        <v/>
      </c>
      <c r="C7" s="58"/>
      <c r="D7" s="78"/>
      <c r="E7" s="58"/>
      <c r="F7" s="273"/>
      <c r="G7" s="140" t="str">
        <f>IF(ISBLANK($D7),"","days")</f>
        <v/>
      </c>
      <c r="H7" s="135"/>
      <c r="I7" s="273"/>
      <c r="J7" s="140" t="str">
        <f>IF(ISBLANK($D7),"","days")</f>
        <v/>
      </c>
      <c r="K7" s="101"/>
      <c r="L7" s="456"/>
      <c r="M7" s="457"/>
      <c r="N7" s="308" t="str">
        <f>IF(ISBLANK(L7),"",(E7+H7)*VLOOKUP(L7,TravelGrant,2,0)+M7*Topup)</f>
        <v/>
      </c>
      <c r="O7" s="231" t="str">
        <f>IF(OR(ISBLANK($D7),ISBLANK($K7)),"",IF(LEFT($D7,18)="Long-term teaching",VLOOKUP($K7,Subsistence,2,0)*14+VLOOKUP($K7,Subsistence,3,0)*46+IF($F7&gt;60,VLOOKUP($K7,Subsistence,4,0)*($F7-60),0),IF(LEFT($D7,18)="Short-term joint s",IF($F7&lt;15,Ceilings!$S$3*$F7,Ceilings!$S$3*14+Ceilings!$S$4*($F7-14)),IF($F7&lt;15,Ceilings!$S$6*$F7,Ceilings!$S$6*14+Ceilings!$S$7*($F7-14)))))</f>
        <v/>
      </c>
      <c r="P7" s="232" t="str">
        <f>IF(OR(ISBLANK(D7),ISBLANK(H7),ISBLANK(K7)),"",IF(I7&lt;15,Ceilings!$S$3*I7,Ceilings!$S$3*14+Ceilings!$S$4*(I7-14)))</f>
        <v/>
      </c>
      <c r="Q7" s="230" t="str">
        <f>IF(O7="","",$E7*O7+IF(P7="",0,$H7*P7))</f>
        <v/>
      </c>
      <c r="R7" s="135"/>
      <c r="S7" s="332" t="str">
        <f>IF(OR(ISBLANK($D7),ISBLANK($K7),ISBLANK(R7)),"",Ceilings!$V$3*R7)</f>
        <v/>
      </c>
      <c r="T7" s="221" t="str">
        <f>IF(ISBLANK($A7),"",IF(OR(ISBLANK($C7),ISBLANK($D7),ISBLANK($E7),ISBLANK($K7)),"Missing data",SUM($N7,$Q7,$S7)))</f>
        <v/>
      </c>
    </row>
    <row r="8" spans="1:259" ht="15.75" customHeight="1">
      <c r="A8" s="32"/>
      <c r="B8" s="72" t="str">
        <f>IF(ISBLANK(A8),"",VLOOKUP(A8,Management!$A$11:$C$25,2,0))</f>
        <v/>
      </c>
      <c r="C8" s="60"/>
      <c r="D8" s="79"/>
      <c r="E8" s="60"/>
      <c r="F8" s="274"/>
      <c r="G8" s="141" t="str">
        <f t="shared" ref="G8:G37" si="0">IF(ISBLANK($D8),"","days")</f>
        <v/>
      </c>
      <c r="H8" s="136"/>
      <c r="I8" s="274"/>
      <c r="J8" s="141" t="str">
        <f t="shared" ref="J8:J37" si="1">IF(ISBLANK($D8),"","days")</f>
        <v/>
      </c>
      <c r="K8" s="102"/>
      <c r="L8" s="458"/>
      <c r="M8" s="459"/>
      <c r="N8" s="316" t="str">
        <f t="shared" ref="N8:N37" si="2">IF(ISBLANK(L8),"",SUM(E8,H8)*VLOOKUP(L8,TravelGrant,2,0))</f>
        <v/>
      </c>
      <c r="O8" s="234" t="str">
        <f>IF(OR(ISBLANK($D8),ISBLANK($K8)),"",IF(LEFT($D8,18)="Long-term teaching",VLOOKUP($K8,Subsistence,2,0)*14+VLOOKUP($K8,Subsistence,3,0)*46+IF($F8&gt;60,VLOOKUP($K8,Subsistence,4,0)*($F8-60),0),IF(LEFT($D8,18)="Short-term joint s",IF($F8&lt;15,Ceilings!$S$3*$F8,Ceilings!$S$3*14+Ceilings!$S$4*($F8-14)),IF($F8&lt;15,Ceilings!$S$6*$F8,Ceilings!$S$6*14+Ceilings!$S$7*($F8-14)))))</f>
        <v/>
      </c>
      <c r="P8" s="235" t="str">
        <f>IF(OR(ISBLANK(D8),ISBLANK(H8),ISBLANK(K8)),"",IF(I8&lt;15,Ceilings!$S$3*I8,Ceilings!$S$3*14+Ceilings!$S$4*(I8-14)))</f>
        <v/>
      </c>
      <c r="Q8" s="233" t="str">
        <f t="shared" ref="Q8:Q37" si="3">IF(O8="","",$E8*O8+IF(P8="",0,$H8*P8))</f>
        <v/>
      </c>
      <c r="R8" s="136"/>
      <c r="S8" s="333" t="str">
        <f>IF(OR(ISBLANK($D8),ISBLANK($K8),ISBLANK(R8)),"",Ceilings!$V$3*R8)</f>
        <v/>
      </c>
      <c r="T8" s="93" t="str">
        <f t="shared" ref="T8:T37" si="4">IF(ISBLANK($A8),"",IF(OR(ISBLANK($C8),ISBLANK($D8),ISBLANK($E8),ISBLANK($K8)),"Missing data",SUM($N8,$Q8,$S8)))</f>
        <v/>
      </c>
    </row>
    <row r="9" spans="1:259" ht="15.75" customHeight="1">
      <c r="A9" s="32"/>
      <c r="B9" s="72" t="str">
        <f>IF(ISBLANK(A9),"",VLOOKUP(A9,Management!$A$11:$C$25,2,0))</f>
        <v/>
      </c>
      <c r="C9" s="60"/>
      <c r="D9" s="79"/>
      <c r="E9" s="60"/>
      <c r="F9" s="274"/>
      <c r="G9" s="141" t="str">
        <f t="shared" si="0"/>
        <v/>
      </c>
      <c r="H9" s="136"/>
      <c r="I9" s="274"/>
      <c r="J9" s="141" t="str">
        <f t="shared" si="1"/>
        <v/>
      </c>
      <c r="K9" s="102"/>
      <c r="L9" s="458"/>
      <c r="M9" s="459"/>
      <c r="N9" s="316" t="str">
        <f t="shared" si="2"/>
        <v/>
      </c>
      <c r="O9" s="234" t="str">
        <f>IF(OR(ISBLANK($D9),ISBLANK($K9)),"",IF(LEFT($D9,18)="Long-term teaching",VLOOKUP($K9,Subsistence,2,0)*14+VLOOKUP($K9,Subsistence,3,0)*46+IF($F9&gt;60,VLOOKUP($K9,Subsistence,4,0)*($F9-60),0),IF(LEFT($D9,18)="Short-term joint s",IF($F9&lt;15,Ceilings!$S$3*$F9,Ceilings!$S$3*14+Ceilings!$S$4*($F9-14)),IF($F9&lt;15,Ceilings!$S$6*$F9,Ceilings!$S$6*14+Ceilings!$S$7*($F9-14)))))</f>
        <v/>
      </c>
      <c r="P9" s="235" t="str">
        <f>IF(OR(ISBLANK(D9),ISBLANK(H9),ISBLANK(K9)),"",IF(I9&lt;15,Ceilings!$S$3*I9,Ceilings!$S$3*14+Ceilings!$S$4*(I9-14)))</f>
        <v/>
      </c>
      <c r="Q9" s="233" t="str">
        <f t="shared" si="3"/>
        <v/>
      </c>
      <c r="R9" s="136"/>
      <c r="S9" s="333" t="str">
        <f>IF(OR(ISBLANK($D9),ISBLANK($K9),ISBLANK(R9)),"",Ceilings!$V$3*R9)</f>
        <v/>
      </c>
      <c r="T9" s="93" t="str">
        <f t="shared" si="4"/>
        <v/>
      </c>
    </row>
    <row r="10" spans="1:259" ht="15.75" customHeight="1">
      <c r="A10" s="32"/>
      <c r="B10" s="72" t="str">
        <f>IF(ISBLANK(A10),"",VLOOKUP(A10,Management!$A$11:$C$25,2,0))</f>
        <v/>
      </c>
      <c r="C10" s="60"/>
      <c r="D10" s="79"/>
      <c r="E10" s="60"/>
      <c r="F10" s="274"/>
      <c r="G10" s="141" t="str">
        <f t="shared" si="0"/>
        <v/>
      </c>
      <c r="H10" s="136"/>
      <c r="I10" s="274"/>
      <c r="J10" s="141" t="str">
        <f t="shared" si="1"/>
        <v/>
      </c>
      <c r="K10" s="102"/>
      <c r="L10" s="458"/>
      <c r="M10" s="459"/>
      <c r="N10" s="316" t="str">
        <f t="shared" si="2"/>
        <v/>
      </c>
      <c r="O10" s="234" t="str">
        <f>IF(OR(ISBLANK($D10),ISBLANK($K10)),"",IF(LEFT($D10,18)="Long-term teaching",VLOOKUP($K10,Subsistence,2,0)*14+VLOOKUP($K10,Subsistence,3,0)*46+IF($F10&gt;60,VLOOKUP($K10,Subsistence,4,0)*($F10-60),0),IF(LEFT($D10,18)="Short-term joint s",IF($F10&lt;15,Ceilings!$S$3*$F10,Ceilings!$S$3*14+Ceilings!$S$4*($F10-14)),IF($F10&lt;15,Ceilings!$S$6*$F10,Ceilings!$S$6*14+Ceilings!$S$7*($F10-14)))))</f>
        <v/>
      </c>
      <c r="P10" s="235" t="str">
        <f>IF(OR(ISBLANK(D10),ISBLANK(H10),ISBLANK(K10)),"",IF(I10&lt;15,Ceilings!$S$3*I10,Ceilings!$S$3*14+Ceilings!$S$4*(I10-14)))</f>
        <v/>
      </c>
      <c r="Q10" s="233" t="str">
        <f t="shared" si="3"/>
        <v/>
      </c>
      <c r="R10" s="136"/>
      <c r="S10" s="333" t="str">
        <f>IF(OR(ISBLANK($D10),ISBLANK($K10),ISBLANK(R10)),"",Ceilings!$V$3*R10)</f>
        <v/>
      </c>
      <c r="T10" s="93" t="str">
        <f t="shared" si="4"/>
        <v/>
      </c>
    </row>
    <row r="11" spans="1:259" ht="15.75" customHeight="1">
      <c r="A11" s="32"/>
      <c r="B11" s="72" t="str">
        <f>IF(ISBLANK(A11),"",VLOOKUP(A11,Management!$A$11:$C$25,2,0))</f>
        <v/>
      </c>
      <c r="C11" s="60"/>
      <c r="D11" s="79"/>
      <c r="E11" s="60"/>
      <c r="F11" s="274"/>
      <c r="G11" s="141" t="str">
        <f t="shared" si="0"/>
        <v/>
      </c>
      <c r="H11" s="136"/>
      <c r="I11" s="274"/>
      <c r="J11" s="141" t="str">
        <f t="shared" si="1"/>
        <v/>
      </c>
      <c r="K11" s="102"/>
      <c r="L11" s="458"/>
      <c r="M11" s="459"/>
      <c r="N11" s="316" t="str">
        <f t="shared" si="2"/>
        <v/>
      </c>
      <c r="O11" s="234" t="str">
        <f>IF(OR(ISBLANK($D11),ISBLANK($K11)),"",IF(LEFT($D11,18)="Long-term teaching",VLOOKUP($K11,Subsistence,2,0)*14+VLOOKUP($K11,Subsistence,3,0)*46+IF($F11&gt;60,VLOOKUP($K11,Subsistence,4,0)*($F11-60),0),IF(LEFT($D11,18)="Short-term joint s",IF($F11&lt;15,Ceilings!$S$3*$F11,Ceilings!$S$3*14+Ceilings!$S$4*($F11-14)),IF($F11&lt;15,Ceilings!$S$6*$F11,Ceilings!$S$6*14+Ceilings!$S$7*($F11-14)))))</f>
        <v/>
      </c>
      <c r="P11" s="235" t="str">
        <f>IF(OR(ISBLANK(D11),ISBLANK(H11),ISBLANK(K11)),"",IF(I11&lt;15,Ceilings!$S$3*I11,Ceilings!$S$3*14+Ceilings!$S$4*(I11-14)))</f>
        <v/>
      </c>
      <c r="Q11" s="233" t="str">
        <f t="shared" si="3"/>
        <v/>
      </c>
      <c r="R11" s="136"/>
      <c r="S11" s="333" t="str">
        <f>IF(OR(ISBLANK($D11),ISBLANK($K11),ISBLANK(R11)),"",Ceilings!$V$3*R11)</f>
        <v/>
      </c>
      <c r="T11" s="93" t="str">
        <f t="shared" si="4"/>
        <v/>
      </c>
    </row>
    <row r="12" spans="1:259" ht="15.75" customHeight="1">
      <c r="A12" s="32"/>
      <c r="B12" s="72" t="str">
        <f>IF(ISBLANK(A12),"",VLOOKUP(A12,Management!$A$11:$C$25,2,0))</f>
        <v/>
      </c>
      <c r="C12" s="60"/>
      <c r="D12" s="79"/>
      <c r="E12" s="60"/>
      <c r="F12" s="274"/>
      <c r="G12" s="141" t="str">
        <f t="shared" si="0"/>
        <v/>
      </c>
      <c r="H12" s="136"/>
      <c r="I12" s="274"/>
      <c r="J12" s="141" t="str">
        <f t="shared" si="1"/>
        <v/>
      </c>
      <c r="K12" s="102"/>
      <c r="L12" s="458"/>
      <c r="M12" s="459"/>
      <c r="N12" s="316" t="str">
        <f t="shared" si="2"/>
        <v/>
      </c>
      <c r="O12" s="234" t="str">
        <f>IF(OR(ISBLANK($D12),ISBLANK($K12)),"",IF(LEFT($D12,18)="Long-term teaching",VLOOKUP($K12,Subsistence,2,0)*14+VLOOKUP($K12,Subsistence,3,0)*46+IF($F12&gt;60,VLOOKUP($K12,Subsistence,4,0)*($F12-60),0),IF(LEFT($D12,18)="Short-term joint s",IF($F12&lt;15,Ceilings!$S$3*$F12,Ceilings!$S$3*14+Ceilings!$S$4*($F12-14)),IF($F12&lt;15,Ceilings!$S$6*$F12,Ceilings!$S$6*14+Ceilings!$S$7*($F12-14)))))</f>
        <v/>
      </c>
      <c r="P12" s="235" t="str">
        <f>IF(OR(ISBLANK(D12),ISBLANK(H12),ISBLANK(K12)),"",IF(I12&lt;15,Ceilings!$S$3*I12,Ceilings!$S$3*14+Ceilings!$S$4*(I12-14)))</f>
        <v/>
      </c>
      <c r="Q12" s="233" t="str">
        <f t="shared" si="3"/>
        <v/>
      </c>
      <c r="R12" s="136"/>
      <c r="S12" s="333" t="str">
        <f>IF(OR(ISBLANK($D12),ISBLANK($K12),ISBLANK(R12)),"",Ceilings!$V$3*R12)</f>
        <v/>
      </c>
      <c r="T12" s="93" t="str">
        <f t="shared" si="4"/>
        <v/>
      </c>
    </row>
    <row r="13" spans="1:259" ht="15.75" customHeight="1">
      <c r="A13" s="32"/>
      <c r="B13" s="72" t="str">
        <f>IF(ISBLANK(A13),"",VLOOKUP(A13,Management!$A$11:$C$25,2,0))</f>
        <v/>
      </c>
      <c r="C13" s="60"/>
      <c r="D13" s="79"/>
      <c r="E13" s="60"/>
      <c r="F13" s="274"/>
      <c r="G13" s="141" t="str">
        <f t="shared" si="0"/>
        <v/>
      </c>
      <c r="H13" s="136"/>
      <c r="I13" s="274"/>
      <c r="J13" s="141" t="str">
        <f t="shared" si="1"/>
        <v/>
      </c>
      <c r="K13" s="102"/>
      <c r="L13" s="458"/>
      <c r="M13" s="459"/>
      <c r="N13" s="316" t="str">
        <f t="shared" si="2"/>
        <v/>
      </c>
      <c r="O13" s="234" t="str">
        <f>IF(OR(ISBLANK($D13),ISBLANK($K13)),"",IF(LEFT($D13,18)="Long-term teaching",VLOOKUP($K13,Subsistence,2,0)*14+VLOOKUP($K13,Subsistence,3,0)*46+IF($F13&gt;60,VLOOKUP($K13,Subsistence,4,0)*($F13-60),0),IF(LEFT($D13,18)="Short-term joint s",IF($F13&lt;15,Ceilings!$S$3*$F13,Ceilings!$S$3*14+Ceilings!$S$4*($F13-14)),IF($F13&lt;15,Ceilings!$S$6*$F13,Ceilings!$S$6*14+Ceilings!$S$7*($F13-14)))))</f>
        <v/>
      </c>
      <c r="P13" s="235" t="str">
        <f>IF(OR(ISBLANK(D13),ISBLANK(H13),ISBLANK(K13)),"",IF(I13&lt;15,Ceilings!$S$3*I13,Ceilings!$S$3*14+Ceilings!$S$4*(I13-14)))</f>
        <v/>
      </c>
      <c r="Q13" s="233" t="str">
        <f t="shared" si="3"/>
        <v/>
      </c>
      <c r="R13" s="136"/>
      <c r="S13" s="333" t="str">
        <f>IF(OR(ISBLANK($D13),ISBLANK($K13),ISBLANK(R13)),"",Ceilings!$V$3*R13)</f>
        <v/>
      </c>
      <c r="T13" s="93" t="str">
        <f t="shared" si="4"/>
        <v/>
      </c>
    </row>
    <row r="14" spans="1:259" ht="15.75" customHeight="1">
      <c r="A14" s="32"/>
      <c r="B14" s="72" t="str">
        <f>IF(ISBLANK(A14),"",VLOOKUP(A14,Management!$A$11:$C$25,2,0))</f>
        <v/>
      </c>
      <c r="C14" s="60"/>
      <c r="D14" s="79"/>
      <c r="E14" s="60"/>
      <c r="F14" s="274"/>
      <c r="G14" s="141" t="str">
        <f t="shared" si="0"/>
        <v/>
      </c>
      <c r="H14" s="136"/>
      <c r="I14" s="274"/>
      <c r="J14" s="141" t="str">
        <f t="shared" si="1"/>
        <v/>
      </c>
      <c r="K14" s="102"/>
      <c r="L14" s="458"/>
      <c r="M14" s="459"/>
      <c r="N14" s="316" t="str">
        <f t="shared" si="2"/>
        <v/>
      </c>
      <c r="O14" s="234" t="str">
        <f>IF(OR(ISBLANK($D14),ISBLANK($K14)),"",IF(LEFT($D14,18)="Long-term teaching",VLOOKUP($K14,Subsistence,2,0)*14+VLOOKUP($K14,Subsistence,3,0)*46+IF($F14&gt;60,VLOOKUP($K14,Subsistence,4,0)*($F14-60),0),IF(LEFT($D14,18)="Short-term joint s",IF($F14&lt;15,Ceilings!$S$3*$F14,Ceilings!$S$3*14+Ceilings!$S$4*($F14-14)),IF($F14&lt;15,Ceilings!$S$6*$F14,Ceilings!$S$6*14+Ceilings!$S$7*($F14-14)))))</f>
        <v/>
      </c>
      <c r="P14" s="235" t="str">
        <f>IF(OR(ISBLANK(D14),ISBLANK(H14),ISBLANK(K14)),"",IF(I14&lt;15,Ceilings!$S$3*I14,Ceilings!$S$3*14+Ceilings!$S$4*(I14-14)))</f>
        <v/>
      </c>
      <c r="Q14" s="233" t="str">
        <f t="shared" si="3"/>
        <v/>
      </c>
      <c r="R14" s="136"/>
      <c r="S14" s="333" t="str">
        <f>IF(OR(ISBLANK($D14),ISBLANK($K14),ISBLANK(R14)),"",Ceilings!$V$3*R14)</f>
        <v/>
      </c>
      <c r="T14" s="93" t="str">
        <f t="shared" si="4"/>
        <v/>
      </c>
    </row>
    <row r="15" spans="1:259" ht="15.75" customHeight="1">
      <c r="A15" s="32"/>
      <c r="B15" s="72" t="str">
        <f>IF(ISBLANK(A15),"",VLOOKUP(A15,Management!$A$11:$C$25,2,0))</f>
        <v/>
      </c>
      <c r="C15" s="60"/>
      <c r="D15" s="79"/>
      <c r="E15" s="60"/>
      <c r="F15" s="274"/>
      <c r="G15" s="141" t="str">
        <f t="shared" si="0"/>
        <v/>
      </c>
      <c r="H15" s="136"/>
      <c r="I15" s="274"/>
      <c r="J15" s="141" t="str">
        <f t="shared" si="1"/>
        <v/>
      </c>
      <c r="K15" s="102"/>
      <c r="L15" s="458"/>
      <c r="M15" s="459"/>
      <c r="N15" s="316" t="str">
        <f t="shared" si="2"/>
        <v/>
      </c>
      <c r="O15" s="234" t="str">
        <f>IF(OR(ISBLANK($D15),ISBLANK($K15)),"",IF(LEFT($D15,18)="Long-term teaching",VLOOKUP($K15,Subsistence,2,0)*14+VLOOKUP($K15,Subsistence,3,0)*46+IF($F15&gt;60,VLOOKUP($K15,Subsistence,4,0)*($F15-60),0),IF(LEFT($D15,18)="Short-term joint s",IF($F15&lt;15,Ceilings!$S$3*$F15,Ceilings!$S$3*14+Ceilings!$S$4*($F15-14)),IF($F15&lt;15,Ceilings!$S$6*$F15,Ceilings!$S$6*14+Ceilings!$S$7*($F15-14)))))</f>
        <v/>
      </c>
      <c r="P15" s="235" t="str">
        <f>IF(OR(ISBLANK(D15),ISBLANK(H15),ISBLANK(K15)),"",IF(I15&lt;15,Ceilings!$S$3*I15,Ceilings!$S$3*14+Ceilings!$S$4*(I15-14)))</f>
        <v/>
      </c>
      <c r="Q15" s="233" t="str">
        <f t="shared" si="3"/>
        <v/>
      </c>
      <c r="R15" s="136"/>
      <c r="S15" s="333" t="str">
        <f>IF(OR(ISBLANK($D15),ISBLANK($K15),ISBLANK(R15)),"",Ceilings!$V$3*R15)</f>
        <v/>
      </c>
      <c r="T15" s="93" t="str">
        <f t="shared" si="4"/>
        <v/>
      </c>
    </row>
    <row r="16" spans="1:259" ht="15.75" customHeight="1">
      <c r="A16" s="32"/>
      <c r="B16" s="72" t="str">
        <f>IF(ISBLANK(A16),"",VLOOKUP(A16,Management!$A$11:$C$25,2,0))</f>
        <v/>
      </c>
      <c r="C16" s="60"/>
      <c r="D16" s="79"/>
      <c r="E16" s="60"/>
      <c r="F16" s="274"/>
      <c r="G16" s="141" t="str">
        <f t="shared" si="0"/>
        <v/>
      </c>
      <c r="H16" s="136"/>
      <c r="I16" s="274"/>
      <c r="J16" s="141" t="str">
        <f t="shared" si="1"/>
        <v/>
      </c>
      <c r="K16" s="102"/>
      <c r="L16" s="458"/>
      <c r="M16" s="459"/>
      <c r="N16" s="316" t="str">
        <f t="shared" si="2"/>
        <v/>
      </c>
      <c r="O16" s="234" t="str">
        <f>IF(OR(ISBLANK($D16),ISBLANK($K16)),"",IF(LEFT($D16,18)="Long-term teaching",VLOOKUP($K16,Subsistence,2,0)*14+VLOOKUP($K16,Subsistence,3,0)*46+IF($F16&gt;60,VLOOKUP($K16,Subsistence,4,0)*($F16-60),0),IF(LEFT($D16,18)="Short-term joint s",IF($F16&lt;15,Ceilings!$S$3*$F16,Ceilings!$S$3*14+Ceilings!$S$4*($F16-14)),IF($F16&lt;15,Ceilings!$S$6*$F16,Ceilings!$S$6*14+Ceilings!$S$7*($F16-14)))))</f>
        <v/>
      </c>
      <c r="P16" s="235" t="str">
        <f>IF(OR(ISBLANK(D16),ISBLANK(H16),ISBLANK(K16)),"",IF(I16&lt;15,Ceilings!$S$3*I16,Ceilings!$S$3*14+Ceilings!$S$4*(I16-14)))</f>
        <v/>
      </c>
      <c r="Q16" s="233" t="str">
        <f t="shared" si="3"/>
        <v/>
      </c>
      <c r="R16" s="136"/>
      <c r="S16" s="333" t="str">
        <f>IF(OR(ISBLANK($D16),ISBLANK($K16),ISBLANK(R16)),"",Ceilings!$V$3*R16)</f>
        <v/>
      </c>
      <c r="T16" s="93" t="str">
        <f t="shared" si="4"/>
        <v/>
      </c>
    </row>
    <row r="17" spans="1:20" ht="15.75" customHeight="1">
      <c r="A17" s="32"/>
      <c r="B17" s="72" t="str">
        <f>IF(ISBLANK(A17),"",VLOOKUP(A17,Management!$A$11:$C$25,2,0))</f>
        <v/>
      </c>
      <c r="C17" s="60"/>
      <c r="D17" s="79"/>
      <c r="E17" s="60"/>
      <c r="F17" s="274"/>
      <c r="G17" s="141" t="str">
        <f t="shared" si="0"/>
        <v/>
      </c>
      <c r="H17" s="136"/>
      <c r="I17" s="274"/>
      <c r="J17" s="141" t="str">
        <f t="shared" si="1"/>
        <v/>
      </c>
      <c r="K17" s="102"/>
      <c r="L17" s="458"/>
      <c r="M17" s="459"/>
      <c r="N17" s="316" t="str">
        <f t="shared" si="2"/>
        <v/>
      </c>
      <c r="O17" s="234" t="str">
        <f>IF(OR(ISBLANK($D17),ISBLANK($K17)),"",IF(LEFT($D17,18)="Long-term teaching",VLOOKUP($K17,Subsistence,2,0)*14+VLOOKUP($K17,Subsistence,3,0)*46+IF($F17&gt;60,VLOOKUP($K17,Subsistence,4,0)*($F17-60),0),IF(LEFT($D17,18)="Short-term joint s",IF($F17&lt;15,Ceilings!$S$3*$F17,Ceilings!$S$3*14+Ceilings!$S$4*($F17-14)),IF($F17&lt;15,Ceilings!$S$6*$F17,Ceilings!$S$6*14+Ceilings!$S$7*($F17-14)))))</f>
        <v/>
      </c>
      <c r="P17" s="235" t="str">
        <f>IF(OR(ISBLANK(D17),ISBLANK(H17),ISBLANK(K17)),"",IF(I17&lt;15,Ceilings!$S$3*I17,Ceilings!$S$3*14+Ceilings!$S$4*(I17-14)))</f>
        <v/>
      </c>
      <c r="Q17" s="233" t="str">
        <f t="shared" si="3"/>
        <v/>
      </c>
      <c r="R17" s="136"/>
      <c r="S17" s="333" t="str">
        <f>IF(OR(ISBLANK($D17),ISBLANK($K17),ISBLANK(R17)),"",Ceilings!$V$3*R17)</f>
        <v/>
      </c>
      <c r="T17" s="93" t="str">
        <f t="shared" si="4"/>
        <v/>
      </c>
    </row>
    <row r="18" spans="1:20" ht="15.75" customHeight="1">
      <c r="A18" s="32"/>
      <c r="B18" s="72" t="str">
        <f>IF(ISBLANK(A18),"",VLOOKUP(A18,Management!$A$11:$C$25,2,0))</f>
        <v/>
      </c>
      <c r="C18" s="60"/>
      <c r="D18" s="79"/>
      <c r="E18" s="60"/>
      <c r="F18" s="274"/>
      <c r="G18" s="141" t="str">
        <f t="shared" si="0"/>
        <v/>
      </c>
      <c r="H18" s="136"/>
      <c r="I18" s="274"/>
      <c r="J18" s="141" t="str">
        <f t="shared" si="1"/>
        <v/>
      </c>
      <c r="K18" s="102"/>
      <c r="L18" s="458"/>
      <c r="M18" s="459"/>
      <c r="N18" s="316" t="str">
        <f t="shared" si="2"/>
        <v/>
      </c>
      <c r="O18" s="234" t="str">
        <f>IF(OR(ISBLANK($D18),ISBLANK($K18)),"",IF(LEFT($D18,18)="Long-term teaching",VLOOKUP($K18,Subsistence,2,0)*14+VLOOKUP($K18,Subsistence,3,0)*46+IF($F18&gt;60,VLOOKUP($K18,Subsistence,4,0)*($F18-60),0),IF(LEFT($D18,18)="Short-term joint s",IF($F18&lt;15,Ceilings!$S$3*$F18,Ceilings!$S$3*14+Ceilings!$S$4*($F18-14)),IF($F18&lt;15,Ceilings!$S$6*$F18,Ceilings!$S$6*14+Ceilings!$S$7*($F18-14)))))</f>
        <v/>
      </c>
      <c r="P18" s="235" t="str">
        <f>IF(OR(ISBLANK(D18),ISBLANK(H18),ISBLANK(K18)),"",IF(I18&lt;15,Ceilings!$S$3*I18,Ceilings!$S$3*14+Ceilings!$S$4*(I18-14)))</f>
        <v/>
      </c>
      <c r="Q18" s="233" t="str">
        <f t="shared" si="3"/>
        <v/>
      </c>
      <c r="R18" s="136"/>
      <c r="S18" s="333" t="str">
        <f>IF(OR(ISBLANK($D18),ISBLANK($K18),ISBLANK(R18)),"",Ceilings!$V$3*R18)</f>
        <v/>
      </c>
      <c r="T18" s="93" t="str">
        <f t="shared" si="4"/>
        <v/>
      </c>
    </row>
    <row r="19" spans="1:20" ht="15.75" customHeight="1">
      <c r="A19" s="32"/>
      <c r="B19" s="72" t="str">
        <f>IF(ISBLANK(A19),"",VLOOKUP(A19,Management!$A$11:$C$25,2,0))</f>
        <v/>
      </c>
      <c r="C19" s="60"/>
      <c r="D19" s="79"/>
      <c r="E19" s="60"/>
      <c r="F19" s="274"/>
      <c r="G19" s="141" t="str">
        <f t="shared" si="0"/>
        <v/>
      </c>
      <c r="H19" s="136"/>
      <c r="I19" s="274"/>
      <c r="J19" s="141" t="str">
        <f t="shared" si="1"/>
        <v/>
      </c>
      <c r="K19" s="102"/>
      <c r="L19" s="458"/>
      <c r="M19" s="459"/>
      <c r="N19" s="316" t="str">
        <f t="shared" si="2"/>
        <v/>
      </c>
      <c r="O19" s="234" t="str">
        <f>IF(OR(ISBLANK($D19),ISBLANK($K19)),"",IF(LEFT($D19,18)="Long-term teaching",VLOOKUP($K19,Subsistence,2,0)*14+VLOOKUP($K19,Subsistence,3,0)*46+IF($F19&gt;60,VLOOKUP($K19,Subsistence,4,0)*($F19-60),0),IF(LEFT($D19,18)="Short-term joint s",IF($F19&lt;15,Ceilings!$S$3*$F19,Ceilings!$S$3*14+Ceilings!$S$4*($F19-14)),IF($F19&lt;15,Ceilings!$S$6*$F19,Ceilings!$S$6*14+Ceilings!$S$7*($F19-14)))))</f>
        <v/>
      </c>
      <c r="P19" s="235" t="str">
        <f>IF(OR(ISBLANK(D19),ISBLANK(H19),ISBLANK(K19)),"",IF(I19&lt;15,Ceilings!$S$3*I19,Ceilings!$S$3*14+Ceilings!$S$4*(I19-14)))</f>
        <v/>
      </c>
      <c r="Q19" s="233" t="str">
        <f t="shared" si="3"/>
        <v/>
      </c>
      <c r="R19" s="136"/>
      <c r="S19" s="333" t="str">
        <f>IF(OR(ISBLANK($D19),ISBLANK($K19),ISBLANK(R19)),"",Ceilings!$V$3*R19)</f>
        <v/>
      </c>
      <c r="T19" s="93" t="str">
        <f t="shared" si="4"/>
        <v/>
      </c>
    </row>
    <row r="20" spans="1:20" ht="15.75" customHeight="1">
      <c r="A20" s="32"/>
      <c r="B20" s="72" t="str">
        <f>IF(ISBLANK(A20),"",VLOOKUP(A20,Management!$A$11:$C$25,2,0))</f>
        <v/>
      </c>
      <c r="C20" s="60"/>
      <c r="D20" s="79"/>
      <c r="E20" s="60"/>
      <c r="F20" s="274"/>
      <c r="G20" s="141" t="str">
        <f t="shared" si="0"/>
        <v/>
      </c>
      <c r="H20" s="136"/>
      <c r="I20" s="274"/>
      <c r="J20" s="141" t="str">
        <f t="shared" si="1"/>
        <v/>
      </c>
      <c r="K20" s="102"/>
      <c r="L20" s="458"/>
      <c r="M20" s="459"/>
      <c r="N20" s="316" t="str">
        <f t="shared" si="2"/>
        <v/>
      </c>
      <c r="O20" s="234" t="str">
        <f>IF(OR(ISBLANK($D20),ISBLANK($K20)),"",IF(LEFT($D20,18)="Long-term teaching",VLOOKUP($K20,Subsistence,2,0)*14+VLOOKUP($K20,Subsistence,3,0)*46+IF($F20&gt;60,VLOOKUP($K20,Subsistence,4,0)*($F20-60),0),IF(LEFT($D20,18)="Short-term joint s",IF($F20&lt;15,Ceilings!$S$3*$F20,Ceilings!$S$3*14+Ceilings!$S$4*($F20-14)),IF($F20&lt;15,Ceilings!$S$6*$F20,Ceilings!$S$6*14+Ceilings!$S$7*($F20-14)))))</f>
        <v/>
      </c>
      <c r="P20" s="235" t="str">
        <f>IF(OR(ISBLANK(D20),ISBLANK(H20),ISBLANK(K20)),"",IF(I20&lt;15,Ceilings!$S$3*I20,Ceilings!$S$3*14+Ceilings!$S$4*(I20-14)))</f>
        <v/>
      </c>
      <c r="Q20" s="233" t="str">
        <f t="shared" si="3"/>
        <v/>
      </c>
      <c r="R20" s="136"/>
      <c r="S20" s="333" t="str">
        <f>IF(OR(ISBLANK($D20),ISBLANK($K20),ISBLANK(R20)),"",Ceilings!$V$3*R20)</f>
        <v/>
      </c>
      <c r="T20" s="93" t="str">
        <f t="shared" si="4"/>
        <v/>
      </c>
    </row>
    <row r="21" spans="1:20" ht="15.75" customHeight="1">
      <c r="A21" s="32"/>
      <c r="B21" s="72" t="str">
        <f>IF(ISBLANK(A21),"",VLOOKUP(A21,Management!$A$11:$C$25,2,0))</f>
        <v/>
      </c>
      <c r="C21" s="60"/>
      <c r="D21" s="79"/>
      <c r="E21" s="60"/>
      <c r="F21" s="274"/>
      <c r="G21" s="141" t="str">
        <f t="shared" si="0"/>
        <v/>
      </c>
      <c r="H21" s="136"/>
      <c r="I21" s="274"/>
      <c r="J21" s="141" t="str">
        <f t="shared" si="1"/>
        <v/>
      </c>
      <c r="K21" s="102"/>
      <c r="L21" s="458"/>
      <c r="M21" s="459"/>
      <c r="N21" s="316" t="str">
        <f t="shared" si="2"/>
        <v/>
      </c>
      <c r="O21" s="234" t="str">
        <f>IF(OR(ISBLANK($D21),ISBLANK($K21)),"",IF(LEFT($D21,18)="Long-term teaching",VLOOKUP($K21,Subsistence,2,0)*14+VLOOKUP($K21,Subsistence,3,0)*46+IF($F21&gt;60,VLOOKUP($K21,Subsistence,4,0)*($F21-60),0),IF(LEFT($D21,18)="Short-term joint s",IF($F21&lt;15,Ceilings!$S$3*$F21,Ceilings!$S$3*14+Ceilings!$S$4*($F21-14)),IF($F21&lt;15,Ceilings!$S$6*$F21,Ceilings!$S$6*14+Ceilings!$S$7*($F21-14)))))</f>
        <v/>
      </c>
      <c r="P21" s="235" t="str">
        <f>IF(OR(ISBLANK(D21),ISBLANK(H21),ISBLANK(K21)),"",IF(I21&lt;15,Ceilings!$S$3*I21,Ceilings!$S$3*14+Ceilings!$S$4*(I21-14)))</f>
        <v/>
      </c>
      <c r="Q21" s="233" t="str">
        <f t="shared" si="3"/>
        <v/>
      </c>
      <c r="R21" s="136"/>
      <c r="S21" s="333" t="str">
        <f>IF(OR(ISBLANK($D21),ISBLANK($K21),ISBLANK(R21)),"",Ceilings!$V$3*R21)</f>
        <v/>
      </c>
      <c r="T21" s="93" t="str">
        <f t="shared" si="4"/>
        <v/>
      </c>
    </row>
    <row r="22" spans="1:20" ht="15.75" customHeight="1">
      <c r="A22" s="32"/>
      <c r="B22" s="72" t="str">
        <f>IF(ISBLANK(A22),"",VLOOKUP(A22,Management!$A$11:$C$25,2,0))</f>
        <v/>
      </c>
      <c r="C22" s="60"/>
      <c r="D22" s="79"/>
      <c r="E22" s="60"/>
      <c r="F22" s="274"/>
      <c r="G22" s="141" t="str">
        <f t="shared" si="0"/>
        <v/>
      </c>
      <c r="H22" s="136"/>
      <c r="I22" s="274"/>
      <c r="J22" s="141" t="str">
        <f t="shared" si="1"/>
        <v/>
      </c>
      <c r="K22" s="102"/>
      <c r="L22" s="458"/>
      <c r="M22" s="459"/>
      <c r="N22" s="316" t="str">
        <f t="shared" si="2"/>
        <v/>
      </c>
      <c r="O22" s="234" t="str">
        <f>IF(OR(ISBLANK($D22),ISBLANK($K22)),"",IF(LEFT($D22,18)="Long-term teaching",VLOOKUP($K22,Subsistence,2,0)*14+VLOOKUP($K22,Subsistence,3,0)*46+IF($F22&gt;60,VLOOKUP($K22,Subsistence,4,0)*($F22-60),0),IF(LEFT($D22,18)="Short-term joint s",IF($F22&lt;15,Ceilings!$S$3*$F22,Ceilings!$S$3*14+Ceilings!$S$4*($F22-14)),IF($F22&lt;15,Ceilings!$S$6*$F22,Ceilings!$S$6*14+Ceilings!$S$7*($F22-14)))))</f>
        <v/>
      </c>
      <c r="P22" s="235" t="str">
        <f>IF(OR(ISBLANK(D22),ISBLANK(H22),ISBLANK(K22)),"",IF(I22&lt;15,Ceilings!$S$3*I22,Ceilings!$S$3*14+Ceilings!$S$4*(I22-14)))</f>
        <v/>
      </c>
      <c r="Q22" s="233" t="str">
        <f t="shared" si="3"/>
        <v/>
      </c>
      <c r="R22" s="136"/>
      <c r="S22" s="333" t="str">
        <f>IF(OR(ISBLANK($D22),ISBLANK($K22),ISBLANK(R22)),"",Ceilings!$V$3*R22)</f>
        <v/>
      </c>
      <c r="T22" s="93" t="str">
        <f t="shared" si="4"/>
        <v/>
      </c>
    </row>
    <row r="23" spans="1:20" ht="15.75" customHeight="1">
      <c r="A23" s="32"/>
      <c r="B23" s="72" t="str">
        <f>IF(ISBLANK(A23),"",VLOOKUP(A23,Management!$A$11:$C$25,2,0))</f>
        <v/>
      </c>
      <c r="C23" s="60"/>
      <c r="D23" s="79"/>
      <c r="E23" s="60"/>
      <c r="F23" s="274"/>
      <c r="G23" s="141" t="str">
        <f t="shared" si="0"/>
        <v/>
      </c>
      <c r="H23" s="136"/>
      <c r="I23" s="274"/>
      <c r="J23" s="141" t="str">
        <f t="shared" si="1"/>
        <v/>
      </c>
      <c r="K23" s="102"/>
      <c r="L23" s="458"/>
      <c r="M23" s="459"/>
      <c r="N23" s="316" t="str">
        <f t="shared" si="2"/>
        <v/>
      </c>
      <c r="O23" s="234" t="str">
        <f>IF(OR(ISBLANK($D23),ISBLANK($K23)),"",IF(LEFT($D23,18)="Long-term teaching",VLOOKUP($K23,Subsistence,2,0)*14+VLOOKUP($K23,Subsistence,3,0)*46+IF($F23&gt;60,VLOOKUP($K23,Subsistence,4,0)*($F23-60),0),IF(LEFT($D23,18)="Short-term joint s",IF($F23&lt;15,Ceilings!$S$3*$F23,Ceilings!$S$3*14+Ceilings!$S$4*($F23-14)),IF($F23&lt;15,Ceilings!$S$6*$F23,Ceilings!$S$6*14+Ceilings!$S$7*($F23-14)))))</f>
        <v/>
      </c>
      <c r="P23" s="235" t="str">
        <f>IF(OR(ISBLANK(D23),ISBLANK(H23),ISBLANK(K23)),"",IF(I23&lt;15,Ceilings!$S$3*I23,Ceilings!$S$3*14+Ceilings!$S$4*(I23-14)))</f>
        <v/>
      </c>
      <c r="Q23" s="233" t="str">
        <f t="shared" si="3"/>
        <v/>
      </c>
      <c r="R23" s="136"/>
      <c r="S23" s="333" t="str">
        <f>IF(OR(ISBLANK($D23),ISBLANK($K23),ISBLANK(R23)),"",Ceilings!$V$3*R23)</f>
        <v/>
      </c>
      <c r="T23" s="93" t="str">
        <f t="shared" si="4"/>
        <v/>
      </c>
    </row>
    <row r="24" spans="1:20" ht="15.75" customHeight="1">
      <c r="A24" s="32"/>
      <c r="B24" s="72" t="str">
        <f>IF(ISBLANK(A24),"",VLOOKUP(A24,Management!$A$11:$C$25,2,0))</f>
        <v/>
      </c>
      <c r="C24" s="60"/>
      <c r="D24" s="79"/>
      <c r="E24" s="60"/>
      <c r="F24" s="274"/>
      <c r="G24" s="141" t="str">
        <f t="shared" si="0"/>
        <v/>
      </c>
      <c r="H24" s="136"/>
      <c r="I24" s="274"/>
      <c r="J24" s="141" t="str">
        <f t="shared" si="1"/>
        <v/>
      </c>
      <c r="K24" s="102"/>
      <c r="L24" s="458"/>
      <c r="M24" s="459"/>
      <c r="N24" s="316" t="str">
        <f t="shared" si="2"/>
        <v/>
      </c>
      <c r="O24" s="234" t="str">
        <f>IF(OR(ISBLANK($D24),ISBLANK($K24)),"",IF(LEFT($D24,18)="Long-term teaching",VLOOKUP($K24,Subsistence,2,0)*14+VLOOKUP($K24,Subsistence,3,0)*46+IF($F24&gt;60,VLOOKUP($K24,Subsistence,4,0)*($F24-60),0),IF(LEFT($D24,18)="Short-term joint s",IF($F24&lt;15,Ceilings!$S$3*$F24,Ceilings!$S$3*14+Ceilings!$S$4*($F24-14)),IF($F24&lt;15,Ceilings!$S$6*$F24,Ceilings!$S$6*14+Ceilings!$S$7*($F24-14)))))</f>
        <v/>
      </c>
      <c r="P24" s="235" t="str">
        <f>IF(OR(ISBLANK(D24),ISBLANK(H24),ISBLANK(K24)),"",IF(I24&lt;15,Ceilings!$S$3*I24,Ceilings!$S$3*14+Ceilings!$S$4*(I24-14)))</f>
        <v/>
      </c>
      <c r="Q24" s="233" t="str">
        <f t="shared" si="3"/>
        <v/>
      </c>
      <c r="R24" s="136"/>
      <c r="S24" s="333" t="str">
        <f>IF(OR(ISBLANK($D24),ISBLANK($K24),ISBLANK(R24)),"",Ceilings!$V$3*R24)</f>
        <v/>
      </c>
      <c r="T24" s="93" t="str">
        <f t="shared" si="4"/>
        <v/>
      </c>
    </row>
    <row r="25" spans="1:20" ht="15.75" customHeight="1">
      <c r="A25" s="32"/>
      <c r="B25" s="72" t="str">
        <f>IF(ISBLANK(A25),"",VLOOKUP(A25,Management!$A$11:$C$25,2,0))</f>
        <v/>
      </c>
      <c r="C25" s="60"/>
      <c r="D25" s="79"/>
      <c r="E25" s="60"/>
      <c r="F25" s="274"/>
      <c r="G25" s="141" t="str">
        <f t="shared" si="0"/>
        <v/>
      </c>
      <c r="H25" s="136"/>
      <c r="I25" s="274"/>
      <c r="J25" s="141" t="str">
        <f t="shared" si="1"/>
        <v/>
      </c>
      <c r="K25" s="102"/>
      <c r="L25" s="458"/>
      <c r="M25" s="459"/>
      <c r="N25" s="316" t="str">
        <f t="shared" si="2"/>
        <v/>
      </c>
      <c r="O25" s="234" t="str">
        <f>IF(OR(ISBLANK($D25),ISBLANK($K25)),"",IF(LEFT($D25,18)="Long-term teaching",VLOOKUP($K25,Subsistence,2,0)*14+VLOOKUP($K25,Subsistence,3,0)*46+IF($F25&gt;60,VLOOKUP($K25,Subsistence,4,0)*($F25-60),0),IF(LEFT($D25,18)="Short-term joint s",IF($F25&lt;15,Ceilings!$S$3*$F25,Ceilings!$S$3*14+Ceilings!$S$4*($F25-14)),IF($F25&lt;15,Ceilings!$S$6*$F25,Ceilings!$S$6*14+Ceilings!$S$7*($F25-14)))))</f>
        <v/>
      </c>
      <c r="P25" s="235" t="str">
        <f>IF(OR(ISBLANK(D25),ISBLANK(H25),ISBLANK(K25)),"",IF(I25&lt;15,Ceilings!$S$3*I25,Ceilings!$S$3*14+Ceilings!$S$4*(I25-14)))</f>
        <v/>
      </c>
      <c r="Q25" s="233" t="str">
        <f t="shared" si="3"/>
        <v/>
      </c>
      <c r="R25" s="136"/>
      <c r="S25" s="333" t="str">
        <f>IF(OR(ISBLANK($D25),ISBLANK($K25),ISBLANK(R25)),"",Ceilings!$V$3*R25)</f>
        <v/>
      </c>
      <c r="T25" s="93" t="str">
        <f t="shared" si="4"/>
        <v/>
      </c>
    </row>
    <row r="26" spans="1:20" ht="15.75" customHeight="1">
      <c r="A26" s="32"/>
      <c r="B26" s="72" t="str">
        <f>IF(ISBLANK(A26),"",VLOOKUP(A26,Management!$A$11:$C$25,2,0))</f>
        <v/>
      </c>
      <c r="C26" s="60"/>
      <c r="D26" s="79"/>
      <c r="E26" s="60"/>
      <c r="F26" s="274"/>
      <c r="G26" s="141" t="str">
        <f t="shared" si="0"/>
        <v/>
      </c>
      <c r="H26" s="136"/>
      <c r="I26" s="274"/>
      <c r="J26" s="141" t="str">
        <f t="shared" si="1"/>
        <v/>
      </c>
      <c r="K26" s="102"/>
      <c r="L26" s="458"/>
      <c r="M26" s="459"/>
      <c r="N26" s="316" t="str">
        <f t="shared" si="2"/>
        <v/>
      </c>
      <c r="O26" s="234" t="str">
        <f>IF(OR(ISBLANK($D26),ISBLANK($K26)),"",IF(LEFT($D26,18)="Long-term teaching",VLOOKUP($K26,Subsistence,2,0)*14+VLOOKUP($K26,Subsistence,3,0)*46+IF($F26&gt;60,VLOOKUP($K26,Subsistence,4,0)*($F26-60),0),IF(LEFT($D26,18)="Short-term joint s",IF($F26&lt;15,Ceilings!$S$3*$F26,Ceilings!$S$3*14+Ceilings!$S$4*($F26-14)),IF($F26&lt;15,Ceilings!$S$6*$F26,Ceilings!$S$6*14+Ceilings!$S$7*($F26-14)))))</f>
        <v/>
      </c>
      <c r="P26" s="235" t="str">
        <f>IF(OR(ISBLANK(D26),ISBLANK(H26),ISBLANK(K26)),"",IF(I26&lt;15,Ceilings!$S$3*I26,Ceilings!$S$3*14+Ceilings!$S$4*(I26-14)))</f>
        <v/>
      </c>
      <c r="Q26" s="233" t="str">
        <f t="shared" si="3"/>
        <v/>
      </c>
      <c r="R26" s="136"/>
      <c r="S26" s="333" t="str">
        <f>IF(OR(ISBLANK($D26),ISBLANK($K26),ISBLANK(R26)),"",Ceilings!$V$3*R26)</f>
        <v/>
      </c>
      <c r="T26" s="93" t="str">
        <f t="shared" si="4"/>
        <v/>
      </c>
    </row>
    <row r="27" spans="1:20" ht="15.75" customHeight="1">
      <c r="A27" s="32"/>
      <c r="B27" s="72" t="str">
        <f>IF(ISBLANK(A27),"",VLOOKUP(A27,Management!$A$11:$C$25,2,0))</f>
        <v/>
      </c>
      <c r="C27" s="60"/>
      <c r="D27" s="79"/>
      <c r="E27" s="60"/>
      <c r="F27" s="274"/>
      <c r="G27" s="141" t="str">
        <f t="shared" si="0"/>
        <v/>
      </c>
      <c r="H27" s="136"/>
      <c r="I27" s="274"/>
      <c r="J27" s="141" t="str">
        <f t="shared" si="1"/>
        <v/>
      </c>
      <c r="K27" s="102"/>
      <c r="L27" s="458"/>
      <c r="M27" s="459"/>
      <c r="N27" s="316" t="str">
        <f t="shared" si="2"/>
        <v/>
      </c>
      <c r="O27" s="234" t="str">
        <f>IF(OR(ISBLANK($D27),ISBLANK($K27)),"",IF(LEFT($D27,18)="Long-term teaching",VLOOKUP($K27,Subsistence,2,0)*14+VLOOKUP($K27,Subsistence,3,0)*46+IF($F27&gt;60,VLOOKUP($K27,Subsistence,4,0)*($F27-60),0),IF(LEFT($D27,18)="Short-term joint s",IF($F27&lt;15,Ceilings!$S$3*$F27,Ceilings!$S$3*14+Ceilings!$S$4*($F27-14)),IF($F27&lt;15,Ceilings!$S$6*$F27,Ceilings!$S$6*14+Ceilings!$S$7*($F27-14)))))</f>
        <v/>
      </c>
      <c r="P27" s="235" t="str">
        <f>IF(OR(ISBLANK(D27),ISBLANK(H27),ISBLANK(K27)),"",IF(I27&lt;15,Ceilings!$S$3*I27,Ceilings!$S$3*14+Ceilings!$S$4*(I27-14)))</f>
        <v/>
      </c>
      <c r="Q27" s="233" t="str">
        <f t="shared" si="3"/>
        <v/>
      </c>
      <c r="R27" s="136"/>
      <c r="S27" s="333" t="str">
        <f>IF(OR(ISBLANK($D27),ISBLANK($K27),ISBLANK(R27)),"",Ceilings!$V$3*R27)</f>
        <v/>
      </c>
      <c r="T27" s="93" t="str">
        <f t="shared" si="4"/>
        <v/>
      </c>
    </row>
    <row r="28" spans="1:20" ht="15.75" customHeight="1">
      <c r="A28" s="32"/>
      <c r="B28" s="72" t="str">
        <f>IF(ISBLANK(A28),"",VLOOKUP(A28,Management!$A$11:$C$25,2,0))</f>
        <v/>
      </c>
      <c r="C28" s="60"/>
      <c r="D28" s="79"/>
      <c r="E28" s="60"/>
      <c r="F28" s="274"/>
      <c r="G28" s="141" t="str">
        <f t="shared" si="0"/>
        <v/>
      </c>
      <c r="H28" s="136"/>
      <c r="I28" s="274"/>
      <c r="J28" s="141" t="str">
        <f t="shared" si="1"/>
        <v/>
      </c>
      <c r="K28" s="102"/>
      <c r="L28" s="458"/>
      <c r="M28" s="459"/>
      <c r="N28" s="316" t="str">
        <f t="shared" si="2"/>
        <v/>
      </c>
      <c r="O28" s="234" t="str">
        <f>IF(OR(ISBLANK($D28),ISBLANK($K28)),"",IF(LEFT($D28,18)="Long-term teaching",VLOOKUP($K28,Subsistence,2,0)*14+VLOOKUP($K28,Subsistence,3,0)*46+IF($F28&gt;60,VLOOKUP($K28,Subsistence,4,0)*($F28-60),0),IF(LEFT($D28,18)="Short-term joint s",IF($F28&lt;15,Ceilings!$S$3*$F28,Ceilings!$S$3*14+Ceilings!$S$4*($F28-14)),IF($F28&lt;15,Ceilings!$S$6*$F28,Ceilings!$S$6*14+Ceilings!$S$7*($F28-14)))))</f>
        <v/>
      </c>
      <c r="P28" s="235" t="str">
        <f>IF(OR(ISBLANK(D28),ISBLANK(H28),ISBLANK(K28)),"",IF(I28&lt;15,Ceilings!$S$3*I28,Ceilings!$S$3*14+Ceilings!$S$4*(I28-14)))</f>
        <v/>
      </c>
      <c r="Q28" s="233" t="str">
        <f t="shared" si="3"/>
        <v/>
      </c>
      <c r="R28" s="136"/>
      <c r="S28" s="333" t="str">
        <f>IF(OR(ISBLANK($D28),ISBLANK($K28),ISBLANK(R28)),"",Ceilings!$V$3*R28)</f>
        <v/>
      </c>
      <c r="T28" s="93" t="str">
        <f t="shared" si="4"/>
        <v/>
      </c>
    </row>
    <row r="29" spans="1:20" ht="15.75" customHeight="1">
      <c r="A29" s="32"/>
      <c r="B29" s="72" t="str">
        <f>IF(ISBLANK(A29),"",VLOOKUP(A29,Management!$A$11:$C$25,2,0))</f>
        <v/>
      </c>
      <c r="C29" s="60"/>
      <c r="D29" s="79"/>
      <c r="E29" s="60"/>
      <c r="F29" s="274"/>
      <c r="G29" s="141" t="str">
        <f t="shared" si="0"/>
        <v/>
      </c>
      <c r="H29" s="136"/>
      <c r="I29" s="274"/>
      <c r="J29" s="141" t="str">
        <f t="shared" si="1"/>
        <v/>
      </c>
      <c r="K29" s="102"/>
      <c r="L29" s="458"/>
      <c r="M29" s="459"/>
      <c r="N29" s="316" t="str">
        <f t="shared" si="2"/>
        <v/>
      </c>
      <c r="O29" s="234" t="str">
        <f>IF(OR(ISBLANK($D29),ISBLANK($K29)),"",IF(LEFT($D29,18)="Long-term teaching",VLOOKUP($K29,Subsistence,2,0)*14+VLOOKUP($K29,Subsistence,3,0)*46+IF($F29&gt;60,VLOOKUP($K29,Subsistence,4,0)*($F29-60),0),IF(LEFT($D29,18)="Short-term joint s",IF($F29&lt;15,Ceilings!$S$3*$F29,Ceilings!$S$3*14+Ceilings!$S$4*($F29-14)),IF($F29&lt;15,Ceilings!$S$6*$F29,Ceilings!$S$6*14+Ceilings!$S$7*($F29-14)))))</f>
        <v/>
      </c>
      <c r="P29" s="235" t="str">
        <f>IF(OR(ISBLANK(D29),ISBLANK(H29),ISBLANK(K29)),"",IF(I29&lt;15,Ceilings!$S$3*I29,Ceilings!$S$3*14+Ceilings!$S$4*(I29-14)))</f>
        <v/>
      </c>
      <c r="Q29" s="233" t="str">
        <f t="shared" si="3"/>
        <v/>
      </c>
      <c r="R29" s="136"/>
      <c r="S29" s="333" t="str">
        <f>IF(OR(ISBLANK($D29),ISBLANK($K29),ISBLANK(R29)),"",Ceilings!$V$3*R29)</f>
        <v/>
      </c>
      <c r="T29" s="93" t="str">
        <f t="shared" si="4"/>
        <v/>
      </c>
    </row>
    <row r="30" spans="1:20" ht="15.75" customHeight="1">
      <c r="A30" s="32"/>
      <c r="B30" s="72" t="str">
        <f>IF(ISBLANK(A30),"",VLOOKUP(A30,Management!$A$11:$C$25,2,0))</f>
        <v/>
      </c>
      <c r="C30" s="60"/>
      <c r="D30" s="79"/>
      <c r="E30" s="60"/>
      <c r="F30" s="274"/>
      <c r="G30" s="141" t="str">
        <f t="shared" si="0"/>
        <v/>
      </c>
      <c r="H30" s="136"/>
      <c r="I30" s="274"/>
      <c r="J30" s="141" t="str">
        <f t="shared" si="1"/>
        <v/>
      </c>
      <c r="K30" s="102"/>
      <c r="L30" s="458"/>
      <c r="M30" s="459"/>
      <c r="N30" s="316" t="str">
        <f t="shared" si="2"/>
        <v/>
      </c>
      <c r="O30" s="234" t="str">
        <f>IF(OR(ISBLANK($D30),ISBLANK($K30)),"",IF(LEFT($D30,18)="Long-term teaching",VLOOKUP($K30,Subsistence,2,0)*14+VLOOKUP($K30,Subsistence,3,0)*46+IF($F30&gt;60,VLOOKUP($K30,Subsistence,4,0)*($F30-60),0),IF(LEFT($D30,18)="Short-term joint s",IF($F30&lt;15,Ceilings!$S$3*$F30,Ceilings!$S$3*14+Ceilings!$S$4*($F30-14)),IF($F30&lt;15,Ceilings!$S$6*$F30,Ceilings!$S$6*14+Ceilings!$S$7*($F30-14)))))</f>
        <v/>
      </c>
      <c r="P30" s="235" t="str">
        <f>IF(OR(ISBLANK(D30),ISBLANK(H30),ISBLANK(K30)),"",IF(I30&lt;15,Ceilings!$S$3*I30,Ceilings!$S$3*14+Ceilings!$S$4*(I30-14)))</f>
        <v/>
      </c>
      <c r="Q30" s="233" t="str">
        <f t="shared" si="3"/>
        <v/>
      </c>
      <c r="R30" s="136"/>
      <c r="S30" s="333" t="str">
        <f>IF(OR(ISBLANK($D30),ISBLANK($K30),ISBLANK(R30)),"",Ceilings!$V$3*R30)</f>
        <v/>
      </c>
      <c r="T30" s="93" t="str">
        <f t="shared" si="4"/>
        <v/>
      </c>
    </row>
    <row r="31" spans="1:20" ht="15.75" customHeight="1">
      <c r="A31" s="32"/>
      <c r="B31" s="72" t="str">
        <f>IF(ISBLANK(A31),"",VLOOKUP(A31,Management!$A$11:$C$25,2,0))</f>
        <v/>
      </c>
      <c r="C31" s="60"/>
      <c r="D31" s="79"/>
      <c r="E31" s="60"/>
      <c r="F31" s="274"/>
      <c r="G31" s="141" t="str">
        <f t="shared" si="0"/>
        <v/>
      </c>
      <c r="H31" s="136"/>
      <c r="I31" s="274"/>
      <c r="J31" s="141" t="str">
        <f t="shared" si="1"/>
        <v/>
      </c>
      <c r="K31" s="102"/>
      <c r="L31" s="458"/>
      <c r="M31" s="459"/>
      <c r="N31" s="316" t="str">
        <f t="shared" si="2"/>
        <v/>
      </c>
      <c r="O31" s="234" t="str">
        <f>IF(OR(ISBLANK($D31),ISBLANK($K31)),"",IF(LEFT($D31,18)="Long-term teaching",VLOOKUP($K31,Subsistence,2,0)*14+VLOOKUP($K31,Subsistence,3,0)*46+IF($F31&gt;60,VLOOKUP($K31,Subsistence,4,0)*($F31-60),0),IF(LEFT($D31,18)="Short-term joint s",IF($F31&lt;15,Ceilings!$S$3*$F31,Ceilings!$S$3*14+Ceilings!$S$4*($F31-14)),IF($F31&lt;15,Ceilings!$S$6*$F31,Ceilings!$S$6*14+Ceilings!$S$7*($F31-14)))))</f>
        <v/>
      </c>
      <c r="P31" s="235" t="str">
        <f>IF(OR(ISBLANK(D31),ISBLANK(H31),ISBLANK(K31)),"",IF(I31&lt;15,Ceilings!$S$3*I31,Ceilings!$S$3*14+Ceilings!$S$4*(I31-14)))</f>
        <v/>
      </c>
      <c r="Q31" s="233" t="str">
        <f t="shared" si="3"/>
        <v/>
      </c>
      <c r="R31" s="136"/>
      <c r="S31" s="333" t="str">
        <f>IF(OR(ISBLANK($D31),ISBLANK($K31),ISBLANK(R31)),"",Ceilings!$V$3*R31)</f>
        <v/>
      </c>
      <c r="T31" s="93" t="str">
        <f t="shared" si="4"/>
        <v/>
      </c>
    </row>
    <row r="32" spans="1:20" ht="15.75" customHeight="1">
      <c r="A32" s="32"/>
      <c r="B32" s="72" t="str">
        <f>IF(ISBLANK(A32),"",VLOOKUP(A32,Management!$A$11:$C$25,2,0))</f>
        <v/>
      </c>
      <c r="C32" s="60"/>
      <c r="D32" s="79"/>
      <c r="E32" s="60"/>
      <c r="F32" s="274"/>
      <c r="G32" s="141" t="str">
        <f t="shared" si="0"/>
        <v/>
      </c>
      <c r="H32" s="136"/>
      <c r="I32" s="274"/>
      <c r="J32" s="141" t="str">
        <f t="shared" si="1"/>
        <v/>
      </c>
      <c r="K32" s="102"/>
      <c r="L32" s="458"/>
      <c r="M32" s="459"/>
      <c r="N32" s="316" t="str">
        <f t="shared" si="2"/>
        <v/>
      </c>
      <c r="O32" s="234" t="str">
        <f>IF(OR(ISBLANK($D32),ISBLANK($K32)),"",IF(LEFT($D32,18)="Long-term teaching",VLOOKUP($K32,Subsistence,2,0)*14+VLOOKUP($K32,Subsistence,3,0)*46+IF($F32&gt;60,VLOOKUP($K32,Subsistence,4,0)*($F32-60),0),IF(LEFT($D32,18)="Short-term joint s",IF($F32&lt;15,Ceilings!$S$3*$F32,Ceilings!$S$3*14+Ceilings!$S$4*($F32-14)),IF($F32&lt;15,Ceilings!$S$6*$F32,Ceilings!$S$6*14+Ceilings!$S$7*($F32-14)))))</f>
        <v/>
      </c>
      <c r="P32" s="235" t="str">
        <f>IF(OR(ISBLANK(D32),ISBLANK(H32),ISBLANK(K32)),"",IF(I32&lt;15,Ceilings!$S$3*I32,Ceilings!$S$3*14+Ceilings!$S$4*(I32-14)))</f>
        <v/>
      </c>
      <c r="Q32" s="233" t="str">
        <f t="shared" si="3"/>
        <v/>
      </c>
      <c r="R32" s="136"/>
      <c r="S32" s="333" t="str">
        <f>IF(OR(ISBLANK($D32),ISBLANK($K32),ISBLANK(R32)),"",Ceilings!$V$3*R32)</f>
        <v/>
      </c>
      <c r="T32" s="93" t="str">
        <f t="shared" si="4"/>
        <v/>
      </c>
    </row>
    <row r="33" spans="1:20" ht="15.75" customHeight="1">
      <c r="A33" s="32"/>
      <c r="B33" s="72" t="str">
        <f>IF(ISBLANK(A33),"",VLOOKUP(A33,Management!$A$11:$C$25,2,0))</f>
        <v/>
      </c>
      <c r="C33" s="60"/>
      <c r="D33" s="79"/>
      <c r="E33" s="60"/>
      <c r="F33" s="274"/>
      <c r="G33" s="141" t="str">
        <f t="shared" si="0"/>
        <v/>
      </c>
      <c r="H33" s="136"/>
      <c r="I33" s="274"/>
      <c r="J33" s="141" t="str">
        <f t="shared" si="1"/>
        <v/>
      </c>
      <c r="K33" s="102"/>
      <c r="L33" s="458"/>
      <c r="M33" s="459"/>
      <c r="N33" s="316" t="str">
        <f t="shared" si="2"/>
        <v/>
      </c>
      <c r="O33" s="234" t="str">
        <f>IF(OR(ISBLANK($D33),ISBLANK($K33)),"",IF(LEFT($D33,18)="Long-term teaching",VLOOKUP($K33,Subsistence,2,0)*14+VLOOKUP($K33,Subsistence,3,0)*46+IF($F33&gt;60,VLOOKUP($K33,Subsistence,4,0)*($F33-60),0),IF(LEFT($D33,18)="Short-term joint s",IF($F33&lt;15,Ceilings!$S$3*$F33,Ceilings!$S$3*14+Ceilings!$S$4*($F33-14)),IF($F33&lt;15,Ceilings!$S$6*$F33,Ceilings!$S$6*14+Ceilings!$S$7*($F33-14)))))</f>
        <v/>
      </c>
      <c r="P33" s="235" t="str">
        <f>IF(OR(ISBLANK(D33),ISBLANK(H33),ISBLANK(K33)),"",IF(I33&lt;15,Ceilings!$S$3*I33,Ceilings!$S$3*14+Ceilings!$S$4*(I33-14)))</f>
        <v/>
      </c>
      <c r="Q33" s="233" t="str">
        <f t="shared" si="3"/>
        <v/>
      </c>
      <c r="R33" s="136"/>
      <c r="S33" s="333" t="str">
        <f>IF(OR(ISBLANK($D33),ISBLANK($K33),ISBLANK(R33)),"",Ceilings!$V$3*R33)</f>
        <v/>
      </c>
      <c r="T33" s="93" t="str">
        <f t="shared" si="4"/>
        <v/>
      </c>
    </row>
    <row r="34" spans="1:20" ht="15.75" customHeight="1">
      <c r="A34" s="32"/>
      <c r="B34" s="72" t="str">
        <f>IF(ISBLANK(A34),"",VLOOKUP(A34,Management!$A$11:$C$25,2,0))</f>
        <v/>
      </c>
      <c r="C34" s="60"/>
      <c r="D34" s="79"/>
      <c r="E34" s="60"/>
      <c r="F34" s="274"/>
      <c r="G34" s="141" t="str">
        <f t="shared" si="0"/>
        <v/>
      </c>
      <c r="H34" s="136"/>
      <c r="I34" s="274"/>
      <c r="J34" s="141" t="str">
        <f t="shared" si="1"/>
        <v/>
      </c>
      <c r="K34" s="102"/>
      <c r="L34" s="458"/>
      <c r="M34" s="459"/>
      <c r="N34" s="316" t="str">
        <f t="shared" si="2"/>
        <v/>
      </c>
      <c r="O34" s="234" t="str">
        <f>IF(OR(ISBLANK($D34),ISBLANK($K34)),"",IF(LEFT($D34,18)="Long-term teaching",VLOOKUP($K34,Subsistence,2,0)*14+VLOOKUP($K34,Subsistence,3,0)*46+IF($F34&gt;60,VLOOKUP($K34,Subsistence,4,0)*($F34-60),0),IF(LEFT($D34,18)="Short-term joint s",IF($F34&lt;15,Ceilings!$S$3*$F34,Ceilings!$S$3*14+Ceilings!$S$4*($F34-14)),IF($F34&lt;15,Ceilings!$S$6*$F34,Ceilings!$S$6*14+Ceilings!$S$7*($F34-14)))))</f>
        <v/>
      </c>
      <c r="P34" s="235" t="str">
        <f>IF(OR(ISBLANK(D34),ISBLANK(H34),ISBLANK(K34)),"",IF(I34&lt;15,Ceilings!$S$3*I34,Ceilings!$S$3*14+Ceilings!$S$4*(I34-14)))</f>
        <v/>
      </c>
      <c r="Q34" s="233" t="str">
        <f t="shared" si="3"/>
        <v/>
      </c>
      <c r="R34" s="136"/>
      <c r="S34" s="333" t="str">
        <f>IF(OR(ISBLANK($D34),ISBLANK($K34),ISBLANK(R34)),"",Ceilings!$V$3*R34)</f>
        <v/>
      </c>
      <c r="T34" s="93" t="str">
        <f t="shared" si="4"/>
        <v/>
      </c>
    </row>
    <row r="35" spans="1:20" ht="15.75" customHeight="1">
      <c r="A35" s="32"/>
      <c r="B35" s="72" t="str">
        <f>IF(ISBLANK(A35),"",VLOOKUP(A35,Management!$A$11:$C$25,2,0))</f>
        <v/>
      </c>
      <c r="C35" s="60"/>
      <c r="D35" s="79"/>
      <c r="E35" s="60"/>
      <c r="F35" s="274"/>
      <c r="G35" s="141" t="str">
        <f t="shared" si="0"/>
        <v/>
      </c>
      <c r="H35" s="136"/>
      <c r="I35" s="274"/>
      <c r="J35" s="141" t="str">
        <f t="shared" si="1"/>
        <v/>
      </c>
      <c r="K35" s="102"/>
      <c r="L35" s="458"/>
      <c r="M35" s="459"/>
      <c r="N35" s="316" t="str">
        <f t="shared" si="2"/>
        <v/>
      </c>
      <c r="O35" s="234" t="str">
        <f>IF(OR(ISBLANK($D35),ISBLANK($K35)),"",IF(LEFT($D35,18)="Long-term teaching",VLOOKUP($K35,Subsistence,2,0)*14+VLOOKUP($K35,Subsistence,3,0)*46+IF($F35&gt;60,VLOOKUP($K35,Subsistence,4,0)*($F35-60),0),IF(LEFT($D35,18)="Short-term joint s",IF($F35&lt;15,Ceilings!$S$3*$F35,Ceilings!$S$3*14+Ceilings!$S$4*($F35-14)),IF($F35&lt;15,Ceilings!$S$6*$F35,Ceilings!$S$6*14+Ceilings!$S$7*($F35-14)))))</f>
        <v/>
      </c>
      <c r="P35" s="235" t="str">
        <f>IF(OR(ISBLANK(D35),ISBLANK(H35),ISBLANK(K35)),"",IF(I35&lt;15,Ceilings!$S$3*I35,Ceilings!$S$3*14+Ceilings!$S$4*(I35-14)))</f>
        <v/>
      </c>
      <c r="Q35" s="233" t="str">
        <f t="shared" si="3"/>
        <v/>
      </c>
      <c r="R35" s="136"/>
      <c r="S35" s="333" t="str">
        <f>IF(OR(ISBLANK($D35),ISBLANK($K35),ISBLANK(R35)),"",Ceilings!$V$3*R35)</f>
        <v/>
      </c>
      <c r="T35" s="93" t="str">
        <f t="shared" si="4"/>
        <v/>
      </c>
    </row>
    <row r="36" spans="1:20" ht="15.75" customHeight="1">
      <c r="A36" s="32"/>
      <c r="B36" s="72" t="str">
        <f>IF(ISBLANK(A36),"",VLOOKUP(A36,Management!$A$11:$C$25,2,0))</f>
        <v/>
      </c>
      <c r="C36" s="60"/>
      <c r="D36" s="79"/>
      <c r="E36" s="60"/>
      <c r="F36" s="274"/>
      <c r="G36" s="141" t="str">
        <f t="shared" si="0"/>
        <v/>
      </c>
      <c r="H36" s="136"/>
      <c r="I36" s="274"/>
      <c r="J36" s="141" t="str">
        <f t="shared" si="1"/>
        <v/>
      </c>
      <c r="K36" s="102"/>
      <c r="L36" s="458"/>
      <c r="M36" s="459"/>
      <c r="N36" s="316" t="str">
        <f t="shared" si="2"/>
        <v/>
      </c>
      <c r="O36" s="234" t="str">
        <f>IF(OR(ISBLANK($D36),ISBLANK($K36)),"",IF(LEFT($D36,18)="Long-term teaching",VLOOKUP($K36,Subsistence,2,0)*14+VLOOKUP($K36,Subsistence,3,0)*46+IF($F36&gt;60,VLOOKUP($K36,Subsistence,4,0)*($F36-60),0),IF(LEFT($D36,18)="Short-term joint s",IF($F36&lt;15,Ceilings!$S$3*$F36,Ceilings!$S$3*14+Ceilings!$S$4*($F36-14)),IF($F36&lt;15,Ceilings!$S$6*$F36,Ceilings!$S$6*14+Ceilings!$S$7*($F36-14)))))</f>
        <v/>
      </c>
      <c r="P36" s="235" t="str">
        <f>IF(OR(ISBLANK(D36),ISBLANK(H36),ISBLANK(K36)),"",IF(I36&lt;15,Ceilings!$S$3*I36,Ceilings!$S$3*14+Ceilings!$S$4*(I36-14)))</f>
        <v/>
      </c>
      <c r="Q36" s="233" t="str">
        <f t="shared" si="3"/>
        <v/>
      </c>
      <c r="R36" s="136"/>
      <c r="S36" s="333" t="str">
        <f>IF(OR(ISBLANK($D36),ISBLANK($K36),ISBLANK(R36)),"",Ceilings!$V$3*R36)</f>
        <v/>
      </c>
      <c r="T36" s="93" t="str">
        <f t="shared" si="4"/>
        <v/>
      </c>
    </row>
    <row r="37" spans="1:20" ht="15.75" customHeight="1" thickBot="1">
      <c r="A37" s="35"/>
      <c r="B37" s="73" t="str">
        <f>IF(ISBLANK(A37),"",VLOOKUP(A37,Management!$A$11:$C$25,2,0))</f>
        <v/>
      </c>
      <c r="C37" s="62"/>
      <c r="D37" s="80"/>
      <c r="E37" s="62"/>
      <c r="F37" s="275"/>
      <c r="G37" s="142" t="str">
        <f t="shared" si="0"/>
        <v/>
      </c>
      <c r="H37" s="137"/>
      <c r="I37" s="275"/>
      <c r="J37" s="142" t="str">
        <f t="shared" si="1"/>
        <v/>
      </c>
      <c r="K37" s="103"/>
      <c r="L37" s="460"/>
      <c r="M37" s="461"/>
      <c r="N37" s="323" t="str">
        <f t="shared" si="2"/>
        <v/>
      </c>
      <c r="O37" s="237" t="str">
        <f>IF(OR(ISBLANK($D37),ISBLANK($K37)),"",IF(LEFT($D37,18)="Long-term teaching",VLOOKUP($K37,Subsistence,2,0)*14+VLOOKUP($K37,Subsistence,3,0)*46+IF($F37&gt;60,VLOOKUP($K37,Subsistence,4,0)*($F37-60),0),IF(LEFT($D37,18)="Short-term joint s",IF($F37&lt;15,Ceilings!$S$3*$F37,Ceilings!$S$3*14+Ceilings!$S$4*($F37-14)),IF($F37&lt;15,Ceilings!$S$6*$F37,Ceilings!$S$6*14+Ceilings!$S$7*($F37-14)))))</f>
        <v/>
      </c>
      <c r="P37" s="238" t="str">
        <f>IF(OR(ISBLANK(D37),ISBLANK(H37),ISBLANK(K37)),"",IF(I37&lt;15,Ceilings!$S$3*I37,Ceilings!$S$3*14+Ceilings!$S$4*(I37-14)))</f>
        <v/>
      </c>
      <c r="Q37" s="236" t="str">
        <f t="shared" si="3"/>
        <v/>
      </c>
      <c r="R37" s="137"/>
      <c r="S37" s="334" t="str">
        <f>IF(OR(ISBLANK($D37),ISBLANK($K37),ISBLANK(R37)),"",Ceilings!$V$3*R37)</f>
        <v/>
      </c>
      <c r="T37" s="97" t="str">
        <f t="shared" si="4"/>
        <v/>
      </c>
    </row>
    <row r="38" spans="1:20">
      <c r="E38" s="56">
        <f>SUM(E7:E37)</f>
        <v>0</v>
      </c>
      <c r="H38" s="56">
        <f t="shared" ref="H38" si="5">SUM(H7:H37)</f>
        <v>0</v>
      </c>
      <c r="R38" s="56"/>
    </row>
  </sheetData>
  <sheetProtection password="CBC2" sheet="1" objects="1" scenarios="1" sort="0" autoFilter="0"/>
  <mergeCells count="18">
    <mergeCell ref="G1:Q1"/>
    <mergeCell ref="B2:C2"/>
    <mergeCell ref="G2:Q2"/>
    <mergeCell ref="C4:C5"/>
    <mergeCell ref="B4:B5"/>
    <mergeCell ref="A4:A5"/>
    <mergeCell ref="R4:S4"/>
    <mergeCell ref="O4:Q4"/>
    <mergeCell ref="D4:D5"/>
    <mergeCell ref="E4:E5"/>
    <mergeCell ref="H4:H5"/>
    <mergeCell ref="I4:J5"/>
    <mergeCell ref="F4:G5"/>
    <mergeCell ref="T4:T5"/>
    <mergeCell ref="N4:N5"/>
    <mergeCell ref="L4:L5"/>
    <mergeCell ref="K4:K5"/>
    <mergeCell ref="M4:M5"/>
  </mergeCells>
  <phoneticPr fontId="7" type="noConversion"/>
  <conditionalFormatting sqref="H7:H37">
    <cfRule type="expression" dxfId="17" priority="8" stopIfTrue="1">
      <formula>LEFT($D7,18)="Short-term blended"</formula>
    </cfRule>
  </conditionalFormatting>
  <conditionalFormatting sqref="R7:R37">
    <cfRule type="expression" dxfId="16" priority="7" stopIfTrue="1">
      <formula>LEFT($D7,4)="Long"</formula>
    </cfRule>
  </conditionalFormatting>
  <conditionalFormatting sqref="K7:K37">
    <cfRule type="expression" priority="1" stopIfTrue="1">
      <formula>ISBLANK(K7)</formula>
    </cfRule>
    <cfRule type="expression" priority="2" stopIfTrue="1">
      <formula>LEFT($D7,16)="Short term joint"</formula>
    </cfRule>
    <cfRule type="cellIs" dxfId="15" priority="3" stopIfTrue="1" operator="equal">
      <formula>$B7</formula>
    </cfRule>
  </conditionalFormatting>
  <dataValidations count="11">
    <dataValidation type="custom" allowBlank="1" showErrorMessage="1" error="Long-term teaching or training must be between 60 and 365 days, Short-term joint staff training between 3 and 60 days, otherwise between 5 and 60 days." sqref="F7:F37">
      <formula1>IF(LEFT($D7,4)="Long",AND(F7&gt;59,F7&lt;366),AND(F7&gt;IF(MID(D7,12,5)="joint",2,4),F7&lt;61))</formula1>
    </dataValidation>
    <dataValidation allowBlank="1" error="Long-term teaching or training assignments &lt; 367 days, otherwise between 5 and 60 days." sqref="G7:G37 J7:J37"/>
    <dataValidation type="list" allowBlank="1" showInputMessage="1" showErrorMessage="1" sqref="L7:L37">
      <formula1>Distances</formula1>
    </dataValidation>
    <dataValidation type="list" allowBlank="1" showInputMessage="1" showErrorMessage="1" sqref="D7:D37">
      <formula1>IF(ISNA(MATCH(B7,PCountries,0)),Activity_t,V_Activity_t)</formula1>
    </dataValidation>
    <dataValidation type="list" allowBlank="1" showInputMessage="1" showErrorMessage="1" sqref="A7:A37">
      <formula1>Partners</formula1>
    </dataValidation>
    <dataValidation type="list" allowBlank="1" showInputMessage="1" showErrorMessage="1" sqref="K7:K37">
      <formula1>CountriesofPs</formula1>
    </dataValidation>
    <dataValidation type="custom" allowBlank="1" showInputMessage="1" showErrorMessage="1" error="It is not possible greater than for participants." sqref="I7:I37">
      <formula1>I7&lt;=F7</formula1>
    </dataValidation>
    <dataValidation type="custom" showInputMessage="1" showErrorMessage="1" sqref="H7:H37">
      <formula1>LEFT($D7,18)="Short-term blended"</formula1>
    </dataValidation>
    <dataValidation type="custom" showInputMessage="1" showErrorMessage="1" sqref="R7:R37">
      <formula1>LEFT($D7,4)="Long"</formula1>
    </dataValidation>
    <dataValidation type="custom" allowBlank="1" showErrorMessage="1" error="It is not possible greater than the number of participants and accompanying persons." sqref="M8:M37">
      <formula1>M8&lt;=E8+H8</formula1>
    </dataValidation>
    <dataValidation type="custom" showErrorMessage="1" error="It is not possible greater than the number of participants and accompanying persons." sqref="M7">
      <formula1>M7&lt;=E7+H7</formula1>
    </dataValidation>
  </dataValidations>
  <printOptions horizontalCentered="1"/>
  <pageMargins left="0.27559055118110237" right="0.27559055118110237" top="0.6635416666666667" bottom="0.6692913385826772" header="0.34270833333333334" footer="0.51181102362204722"/>
  <pageSetup paperSize="9" scale="65" orientation="landscape" r:id="rId1"/>
  <headerFooter scaleWithDoc="0">
    <oddHeader>&amp;C&amp;11 2017. E+ KA202&amp;RVersion: 2017.02.16. - TKA</oddHeader>
    <oddFooter>&amp;C&amp;"Arial,Félkövér"&amp;A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17</vt:i4>
      </vt:variant>
      <vt:variant>
        <vt:lpstr>Névvel ellátott tartományok</vt:lpstr>
      </vt:variant>
      <vt:variant>
        <vt:i4>42</vt:i4>
      </vt:variant>
    </vt:vector>
  </HeadingPairs>
  <TitlesOfParts>
    <vt:vector size="59" baseType="lpstr">
      <vt:lpstr>Figyelmeztetés!</vt:lpstr>
      <vt:lpstr>Kitöltési útmutató</vt:lpstr>
      <vt:lpstr>Overview</vt:lpstr>
      <vt:lpstr>KA2_SP_TIMELINE_TEMPLATE</vt:lpstr>
      <vt:lpstr>Management</vt:lpstr>
      <vt:lpstr>Partner meetings</vt:lpstr>
      <vt:lpstr>Intellectual outputs</vt:lpstr>
      <vt:lpstr>Multiplier events</vt:lpstr>
      <vt:lpstr>VET Transnat. training-teaching</vt:lpstr>
      <vt:lpstr>HE Transnat. training-teaching</vt:lpstr>
      <vt:lpstr>AE Transnat. training-teaching</vt:lpstr>
      <vt:lpstr>SE Transnat. training-teaching</vt:lpstr>
      <vt:lpstr>Youth Transnat. training-teach</vt:lpstr>
      <vt:lpstr>Exceptional costs</vt:lpstr>
      <vt:lpstr>Special needs</vt:lpstr>
      <vt:lpstr>Total grant requested</vt:lpstr>
      <vt:lpstr>Ceilings</vt:lpstr>
      <vt:lpstr>A_Activity_t</vt:lpstr>
      <vt:lpstr>Activity_t</vt:lpstr>
      <vt:lpstr>Ceilings</vt:lpstr>
      <vt:lpstr>Countries</vt:lpstr>
      <vt:lpstr>CountriesofPs</vt:lpstr>
      <vt:lpstr>dCountries</vt:lpstr>
      <vt:lpstr>Distances</vt:lpstr>
      <vt:lpstr>Duration</vt:lpstr>
      <vt:lpstr>End</vt:lpstr>
      <vt:lpstr>EUint</vt:lpstr>
      <vt:lpstr>H_Activity_t</vt:lpstr>
      <vt:lpstr>Limit</vt:lpstr>
      <vt:lpstr>'AE Transnat. training-teaching'!Nyomtatási_cím</vt:lpstr>
      <vt:lpstr>'Exceptional costs'!Nyomtatási_cím</vt:lpstr>
      <vt:lpstr>'HE Transnat. training-teaching'!Nyomtatási_cím</vt:lpstr>
      <vt:lpstr>'Intellectual outputs'!Nyomtatási_cím</vt:lpstr>
      <vt:lpstr>'Multiplier events'!Nyomtatási_cím</vt:lpstr>
      <vt:lpstr>'Partner meetings'!Nyomtatási_cím</vt:lpstr>
      <vt:lpstr>'SE Transnat. training-teaching'!Nyomtatási_cím</vt:lpstr>
      <vt:lpstr>'Special needs'!Nyomtatási_cím</vt:lpstr>
      <vt:lpstr>'VET Transnat. training-teaching'!Nyomtatási_cím</vt:lpstr>
      <vt:lpstr>'Youth Transnat. training-teach'!Nyomtatási_cím</vt:lpstr>
      <vt:lpstr>Ceilings!Nyomtatási_terület</vt:lpstr>
      <vt:lpstr>'Exceptional costs'!Nyomtatási_terület</vt:lpstr>
      <vt:lpstr>'Figyelmeztetés!'!Nyomtatási_terület</vt:lpstr>
      <vt:lpstr>'Kitöltési útmutató'!Nyomtatási_terület</vt:lpstr>
      <vt:lpstr>Management!Nyomtatási_terület</vt:lpstr>
      <vt:lpstr>'Multiplier events'!Nyomtatási_terület</vt:lpstr>
      <vt:lpstr>'Partner meetings'!Nyomtatási_terület</vt:lpstr>
      <vt:lpstr>'Total grant requested'!Nyomtatási_terület</vt:lpstr>
      <vt:lpstr>Partners</vt:lpstr>
      <vt:lpstr>Partners1</vt:lpstr>
      <vt:lpstr>PCountries</vt:lpstr>
      <vt:lpstr>Rates</vt:lpstr>
      <vt:lpstr>S_Activity_t</vt:lpstr>
      <vt:lpstr>Semmi</vt:lpstr>
      <vt:lpstr>Start</vt:lpstr>
      <vt:lpstr>Subsistence</vt:lpstr>
      <vt:lpstr>Topup</vt:lpstr>
      <vt:lpstr>TravelGrant</vt:lpstr>
      <vt:lpstr>V_Activity_t</vt:lpstr>
      <vt:lpstr>Y_Activity_t</vt:lpstr>
    </vt:vector>
  </TitlesOfParts>
  <Company>TKA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 KA2 VET termékorientált pályázatok</dc:title>
  <dc:creator>JBajan</dc:creator>
  <dc:description>toi2011</dc:description>
  <cp:lastModifiedBy>Jakabné Baján Ilona</cp:lastModifiedBy>
  <cp:lastPrinted>2017-02-16T05:00:25Z</cp:lastPrinted>
  <dcterms:created xsi:type="dcterms:W3CDTF">2006-12-14T08:14:57Z</dcterms:created>
  <dcterms:modified xsi:type="dcterms:W3CDTF">2017-02-16T05:00:31Z</dcterms:modified>
</cp:coreProperties>
</file>